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M:\_2024 Equalization\Studies\Final Analysis\"/>
    </mc:Choice>
  </mc:AlternateContent>
  <xr:revisionPtr revIDLastSave="0" documentId="8_{BACB3E85-E09D-4C4E-97F7-89FDD10890A8}" xr6:coauthVersionLast="47" xr6:coauthVersionMax="47" xr10:uidLastSave="{00000000-0000-0000-0000-000000000000}"/>
  <bookViews>
    <workbookView xWindow="3645" yWindow="1830" windowWidth="21600" windowHeight="11295" xr2:uid="{C68F8105-C3F3-4A65-A9F2-3E4C222BA120}"/>
  </bookViews>
  <sheets>
    <sheet name="IND E.C.F. Analys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0" i="1" l="1"/>
  <c r="N40" i="1"/>
  <c r="L40" i="1"/>
  <c r="I40" i="1"/>
  <c r="L39" i="1"/>
  <c r="P39" i="1" s="1"/>
  <c r="I39" i="1"/>
  <c r="O36" i="1"/>
  <c r="M36" i="1"/>
  <c r="M31" i="1"/>
  <c r="J31" i="1"/>
  <c r="H31" i="1"/>
  <c r="I32" i="1" s="1"/>
  <c r="G31" i="1"/>
  <c r="D31" i="1"/>
  <c r="L30" i="1"/>
  <c r="N30" i="1" s="1"/>
  <c r="I30" i="1"/>
  <c r="L29" i="1"/>
  <c r="N29" i="1" s="1"/>
  <c r="I29" i="1"/>
  <c r="P28" i="1"/>
  <c r="L28" i="1"/>
  <c r="N28" i="1" s="1"/>
  <c r="I28" i="1"/>
  <c r="L27" i="1"/>
  <c r="P27" i="1" s="1"/>
  <c r="I27" i="1"/>
  <c r="L26" i="1"/>
  <c r="P26" i="1" s="1"/>
  <c r="I26" i="1"/>
  <c r="L25" i="1"/>
  <c r="P25" i="1" s="1"/>
  <c r="I25" i="1"/>
  <c r="L24" i="1"/>
  <c r="L31" i="1" s="1"/>
  <c r="N32" i="1" s="1"/>
  <c r="I24" i="1"/>
  <c r="L23" i="1"/>
  <c r="P23" i="1" s="1"/>
  <c r="I23" i="1"/>
  <c r="I33" i="1" s="1"/>
  <c r="L17" i="1"/>
  <c r="P17" i="1" s="1"/>
  <c r="I17" i="1"/>
  <c r="O14" i="1"/>
  <c r="M14" i="1"/>
  <c r="M9" i="1"/>
  <c r="J9" i="1"/>
  <c r="H9" i="1"/>
  <c r="I10" i="1" s="1"/>
  <c r="G9" i="1"/>
  <c r="D9" i="1"/>
  <c r="L8" i="1"/>
  <c r="P8" i="1" s="1"/>
  <c r="I8" i="1"/>
  <c r="L7" i="1"/>
  <c r="P7" i="1" s="1"/>
  <c r="I7" i="1"/>
  <c r="L6" i="1"/>
  <c r="P6" i="1" s="1"/>
  <c r="I6" i="1"/>
  <c r="L5" i="1"/>
  <c r="P5" i="1" s="1"/>
  <c r="P9" i="1" s="1"/>
  <c r="I5" i="1"/>
  <c r="I11" i="1" s="1"/>
  <c r="P24" i="1" l="1"/>
  <c r="P31" i="1" s="1"/>
  <c r="P29" i="1"/>
  <c r="N23" i="1"/>
  <c r="P30" i="1"/>
  <c r="N26" i="1"/>
  <c r="N7" i="1"/>
  <c r="L9" i="1"/>
  <c r="N10" i="1" s="1"/>
  <c r="N24" i="1"/>
  <c r="N5" i="1"/>
  <c r="N17" i="1"/>
  <c r="N27" i="1"/>
  <c r="N8" i="1"/>
  <c r="N39" i="1"/>
  <c r="N25" i="1"/>
  <c r="N6" i="1"/>
  <c r="N11" i="1" l="1"/>
  <c r="Q10" i="1"/>
  <c r="Q32" i="1"/>
  <c r="N33" i="1"/>
  <c r="R6" i="1" l="1"/>
  <c r="R8" i="1"/>
  <c r="R17" i="1"/>
  <c r="R5" i="1"/>
  <c r="R9" i="1"/>
  <c r="R7" i="1"/>
  <c r="R30" i="1"/>
  <c r="R24" i="1"/>
  <c r="R26" i="1"/>
  <c r="R40" i="1"/>
  <c r="R28" i="1"/>
  <c r="R23" i="1"/>
  <c r="R25" i="1"/>
  <c r="R29" i="1"/>
  <c r="R39" i="1"/>
  <c r="R27" i="1"/>
  <c r="R31" i="1"/>
  <c r="Q33" i="1" l="1"/>
  <c r="S33" i="1" s="1"/>
  <c r="Q11" i="1"/>
  <c r="S11" i="1" s="1"/>
</calcChain>
</file>

<file path=xl/sharedStrings.xml><?xml version="1.0" encoding="utf-8"?>
<sst xmlns="http://schemas.openxmlformats.org/spreadsheetml/2006/main" count="218" uniqueCount="98">
  <si>
    <t>2024 Saginaw County Industrial ECF Analysis</t>
  </si>
  <si>
    <t>24I1=0.30</t>
  </si>
  <si>
    <t>Description: Industrial property in Bridgeport, Carrollton and City of Saginaw</t>
  </si>
  <si>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</si>
  <si>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</si>
  <si>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</si>
  <si>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</si>
  <si>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</si>
  <si>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</si>
  <si>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</si>
  <si>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</si>
  <si>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</si>
  <si>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</si>
  <si>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</si>
  <si>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</si>
  <si>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</si>
  <si>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</si>
  <si>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</si>
  <si>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</si>
  <si>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</si>
  <si>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</si>
  <si>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</si>
  <si>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</si>
  <si>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</si>
  <si>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</si>
  <si>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</si>
  <si>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</si>
  <si>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</si>
  <si>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</si>
  <si>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</si>
  <si>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90-90-1-05-8000-000</t>
  </si>
  <si>
    <t>1620 E HOLLAND</t>
  </si>
  <si>
    <t>WD</t>
  </si>
  <si>
    <t>19-MULTI PARCEL ARM'S LENGTH</t>
  </si>
  <si>
    <t>24I1</t>
  </si>
  <si>
    <t>Yes</t>
  </si>
  <si>
    <t xml:space="preserve">  /  /    </t>
  </si>
  <si>
    <t>90-90-0-01-4000-000, 90-90-0-05-5000-000, 90-90-0-01-3000-000</t>
  </si>
  <si>
    <t>DEPRESSED</t>
  </si>
  <si>
    <t>11-12-4-05-2636-000</t>
  </si>
  <si>
    <t>3355 RESERVE</t>
  </si>
  <si>
    <t>03-ARM'S LENGTH</t>
  </si>
  <si>
    <t>24C1</t>
  </si>
  <si>
    <t>91-00-1-40-1000-000</t>
  </si>
  <si>
    <t>1319 S 15TH</t>
  </si>
  <si>
    <t>I12-3</t>
  </si>
  <si>
    <t>No</t>
  </si>
  <si>
    <t>91-00-1-40-6000-000, 91-00-1-40-4000-000</t>
  </si>
  <si>
    <t>91-30-1-05-2000-000</t>
  </si>
  <si>
    <t>2600 STATE</t>
  </si>
  <si>
    <t>LOW DENSITY/RURAL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</si>
  <si>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</si>
  <si>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</si>
  <si>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</si>
  <si>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</si>
  <si>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</si>
  <si>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</si>
  <si>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</si>
  <si>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</si>
  <si>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ORIGINAL STATISTICS</t>
  </si>
  <si>
    <t>Range:</t>
  </si>
  <si>
    <t>Ave - 1.5 STD Dev</t>
  </si>
  <si>
    <t>to</t>
  </si>
  <si>
    <t>Ave + 1.5 STD Dev</t>
  </si>
  <si>
    <t>Calculation for outliers:</t>
  </si>
  <si>
    <t>Final ECF after outliers removed:</t>
  </si>
  <si>
    <t>Outliers (removed because ECF is over 1.5 Standard Deviations off the mean)</t>
  </si>
  <si>
    <t>90-80-0-00-2000-200</t>
  </si>
  <si>
    <t>1716 S JEFFERSON</t>
  </si>
  <si>
    <t>24I2=1.08</t>
  </si>
  <si>
    <t>Description: Industrial property in All Units except Bridgeport, Carrollton and City of Saginaw</t>
  </si>
  <si>
    <t>10-12-5-09-4001-002</t>
  </si>
  <si>
    <t>3973 E WASHINGTON</t>
  </si>
  <si>
    <t>24I2</t>
  </si>
  <si>
    <t>10-12-5-09-4001-003</t>
  </si>
  <si>
    <t>10-12-5-21-3057-003</t>
  </si>
  <si>
    <t>600 S OUTER</t>
  </si>
  <si>
    <t>24-10-3-17-1010-001</t>
  </si>
  <si>
    <t>10500 MCKEIGHAN</t>
  </si>
  <si>
    <t>26-11-3-32-3001-005</t>
  </si>
  <si>
    <t>BEAVER</t>
  </si>
  <si>
    <t>MLC</t>
  </si>
  <si>
    <t>26-11-3-32-4102-000</t>
  </si>
  <si>
    <t>305 ENTREPRENEUR</t>
  </si>
  <si>
    <t>22-12-2-28-4029-001</t>
  </si>
  <si>
    <t>475 KING</t>
  </si>
  <si>
    <t>1 STORY</t>
  </si>
  <si>
    <t>25-11-4-23-1046-001</t>
  </si>
  <si>
    <t>5450 EAST</t>
  </si>
  <si>
    <t>02-13-5-31-2009-001</t>
  </si>
  <si>
    <t>5900 SHERMAN</t>
  </si>
  <si>
    <t>03-11-6-35-2107-001</t>
  </si>
  <si>
    <t>320 LIST</t>
  </si>
  <si>
    <t>DDA PARCEL</t>
  </si>
  <si>
    <t>13-09-3-15-1538-001</t>
  </si>
  <si>
    <t>603 S MAIN</t>
  </si>
  <si>
    <t>24C2</t>
  </si>
  <si>
    <t>MEDIUM DENSITY/DEVELOPING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</si>
</sst>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3" formatCode="_(* #,##0.00_);_(* \(#,##0.00\);_(* &quot;-&quot;??_);_(@_)"/>
    <numFmt numFmtId="164" formatCode="mm/dd/yy"/>
    <numFmt numFmtId="165" formatCode="#0.00_);[Red]\(#0.00\)"/>
    <numFmt numFmtId="166" formatCode="#0.000_);[Red]\(#0.000\)"/>
    <numFmt numFmtId="167" formatCode="&quot;$&quot;#0.00_);[Red]\(&quot;$&quot;#0.00\)"/>
    <numFmt numFmtId="168" formatCode="#0.0000_);[Red]\(#0.0000\)"/>
    <numFmt numFmtId="169" formatCode="_(* #,##0.0000_);_(* \(#,##0.00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vertical="top"/>
    </xf>
    <xf numFmtId="164" fontId="0" fillId="0" borderId="0" xfId="0" applyNumberFormat="1"/>
    <xf numFmtId="6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applyNumberFormat="1" applyAlignment="1">
      <alignment horizontal="right"/>
    </xf>
    <xf numFmtId="168" fontId="0" fillId="0" borderId="0" xfId="0" applyNumberFormat="1"/>
    <xf numFmtId="0" fontId="3" fillId="2" borderId="0" xfId="0" applyFont="1" applyFill="1"/>
    <xf numFmtId="164" fontId="4" fillId="0" borderId="0" xfId="0" applyNumberFormat="1" applyFont="1"/>
    <xf numFmtId="0" fontId="5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6" fontId="5" fillId="3" borderId="0" xfId="0" applyNumberFormat="1" applyFont="1" applyFill="1" applyAlignment="1">
      <alignment horizontal="center"/>
    </xf>
    <xf numFmtId="165" fontId="5" fillId="3" borderId="0" xfId="0" applyNumberFormat="1" applyFont="1" applyFill="1" applyAlignment="1">
      <alignment horizontal="center"/>
    </xf>
    <xf numFmtId="166" fontId="5" fillId="3" borderId="0" xfId="0" applyNumberFormat="1" applyFont="1" applyFill="1" applyAlignment="1">
      <alignment horizontal="center"/>
    </xf>
    <xf numFmtId="38" fontId="5" fillId="3" borderId="0" xfId="0" applyNumberFormat="1" applyFont="1" applyFill="1" applyAlignment="1">
      <alignment horizontal="center"/>
    </xf>
    <xf numFmtId="167" fontId="5" fillId="3" borderId="0" xfId="0" applyNumberFormat="1" applyFont="1" applyFill="1" applyAlignment="1">
      <alignment horizontal="center"/>
    </xf>
    <xf numFmtId="49" fontId="5" fillId="3" borderId="0" xfId="0" applyNumberFormat="1" applyFont="1" applyFill="1" applyAlignment="1">
      <alignment horizontal="right"/>
    </xf>
    <xf numFmtId="168" fontId="5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49" fontId="0" fillId="0" borderId="0" xfId="0" quotePrefix="1" applyNumberFormat="1" applyAlignment="1">
      <alignment horizontal="right"/>
    </xf>
    <xf numFmtId="0" fontId="6" fillId="4" borderId="1" xfId="0" applyFont="1" applyFill="1" applyBorder="1"/>
    <xf numFmtId="164" fontId="6" fillId="4" borderId="1" xfId="0" applyNumberFormat="1" applyFont="1" applyFill="1" applyBorder="1"/>
    <xf numFmtId="6" fontId="6" fillId="4" borderId="1" xfId="0" applyNumberFormat="1" applyFont="1" applyFill="1" applyBorder="1"/>
    <xf numFmtId="165" fontId="6" fillId="4" borderId="1" xfId="0" applyNumberFormat="1" applyFont="1" applyFill="1" applyBorder="1"/>
    <xf numFmtId="166" fontId="6" fillId="4" borderId="1" xfId="0" applyNumberFormat="1" applyFont="1" applyFill="1" applyBorder="1"/>
    <xf numFmtId="38" fontId="6" fillId="4" borderId="1" xfId="0" applyNumberFormat="1" applyFont="1" applyFill="1" applyBorder="1"/>
    <xf numFmtId="167" fontId="6" fillId="4" borderId="1" xfId="0" applyNumberFormat="1" applyFont="1" applyFill="1" applyBorder="1"/>
    <xf numFmtId="49" fontId="6" fillId="4" borderId="1" xfId="0" applyNumberFormat="1" applyFont="1" applyFill="1" applyBorder="1" applyAlignment="1">
      <alignment horizontal="right"/>
    </xf>
    <xf numFmtId="168" fontId="6" fillId="4" borderId="1" xfId="0" applyNumberFormat="1" applyFont="1" applyFill="1" applyBorder="1"/>
    <xf numFmtId="0" fontId="6" fillId="4" borderId="0" xfId="0" applyFont="1" applyFill="1"/>
    <xf numFmtId="164" fontId="6" fillId="4" borderId="0" xfId="0" applyNumberFormat="1" applyFont="1" applyFill="1"/>
    <xf numFmtId="6" fontId="6" fillId="4" borderId="0" xfId="0" applyNumberFormat="1" applyFont="1" applyFill="1"/>
    <xf numFmtId="165" fontId="6" fillId="4" borderId="0" xfId="0" applyNumberFormat="1" applyFont="1" applyFill="1"/>
    <xf numFmtId="166" fontId="6" fillId="4" borderId="2" xfId="0" applyNumberFormat="1" applyFont="1" applyFill="1" applyBorder="1"/>
    <xf numFmtId="38" fontId="6" fillId="4" borderId="0" xfId="0" applyNumberFormat="1" applyFont="1" applyFill="1"/>
    <xf numFmtId="167" fontId="6" fillId="4" borderId="0" xfId="0" applyNumberFormat="1" applyFont="1" applyFill="1"/>
    <xf numFmtId="49" fontId="6" fillId="4" borderId="0" xfId="0" applyNumberFormat="1" applyFont="1" applyFill="1" applyAlignment="1">
      <alignment horizontal="right"/>
    </xf>
    <xf numFmtId="168" fontId="6" fillId="4" borderId="0" xfId="0" applyNumberFormat="1" applyFont="1" applyFill="1"/>
    <xf numFmtId="0" fontId="6" fillId="4" borderId="3" xfId="0" applyFont="1" applyFill="1" applyBorder="1"/>
    <xf numFmtId="164" fontId="6" fillId="4" borderId="3" xfId="0" applyNumberFormat="1" applyFont="1" applyFill="1" applyBorder="1"/>
    <xf numFmtId="6" fontId="6" fillId="4" borderId="3" xfId="0" applyNumberFormat="1" applyFont="1" applyFill="1" applyBorder="1"/>
    <xf numFmtId="165" fontId="6" fillId="4" borderId="3" xfId="0" applyNumberFormat="1" applyFont="1" applyFill="1" applyBorder="1"/>
    <xf numFmtId="166" fontId="6" fillId="4" borderId="3" xfId="0" applyNumberFormat="1" applyFont="1" applyFill="1" applyBorder="1"/>
    <xf numFmtId="38" fontId="6" fillId="4" borderId="3" xfId="0" applyNumberFormat="1" applyFont="1" applyFill="1" applyBorder="1"/>
    <xf numFmtId="167" fontId="6" fillId="4" borderId="3" xfId="0" applyNumberFormat="1" applyFont="1" applyFill="1" applyBorder="1"/>
    <xf numFmtId="168" fontId="6" fillId="4" borderId="3" xfId="0" applyNumberFormat="1" applyFont="1" applyFill="1" applyBorder="1" applyAlignment="1">
      <alignment horizontal="right"/>
    </xf>
    <xf numFmtId="168" fontId="6" fillId="4" borderId="3" xfId="0" applyNumberFormat="1" applyFont="1" applyFill="1" applyBorder="1"/>
    <xf numFmtId="6" fontId="0" fillId="5" borderId="0" xfId="0" applyNumberFormat="1" applyFill="1" applyAlignment="1">
      <alignment horizontal="right"/>
    </xf>
    <xf numFmtId="166" fontId="6" fillId="5" borderId="0" xfId="0" applyNumberFormat="1" applyFont="1" applyFill="1"/>
    <xf numFmtId="38" fontId="0" fillId="5" borderId="0" xfId="0" applyNumberFormat="1" applyFill="1"/>
    <xf numFmtId="167" fontId="0" fillId="5" borderId="0" xfId="0" applyNumberFormat="1" applyFill="1"/>
    <xf numFmtId="49" fontId="0" fillId="5" borderId="0" xfId="0" applyNumberFormat="1" applyFill="1" applyAlignment="1">
      <alignment horizontal="right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  <xf numFmtId="6" fontId="0" fillId="0" borderId="0" xfId="0" applyNumberFormat="1" applyAlignment="1">
      <alignment horizontal="right"/>
    </xf>
    <xf numFmtId="169" fontId="0" fillId="0" borderId="2" xfId="1" applyNumberFormat="1" applyFont="1" applyBorder="1"/>
    <xf numFmtId="167" fontId="0" fillId="0" borderId="2" xfId="0" applyNumberFormat="1" applyBorder="1" applyAlignment="1">
      <alignment horizontal="center"/>
    </xf>
    <xf numFmtId="165" fontId="6" fillId="2" borderId="0" xfId="0" applyNumberFormat="1" applyFont="1" applyFill="1"/>
  </cellXfs>
  <cellStyles count="2">
    <cellStyle name="Comma 2" xfId="1" xr:uid="{541D454D-BF32-4F13-B9A1-3C173F6CA047}"/>
    <cellStyle name="Normal" xfId="0" builtinId="0"/>
  </cellStyles>
  <dxfs count="6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EB2C8-B40F-4BF7-8853-D7D7F6A3BADC}">
  <dimension ref="A1:AZ40"/>
  <sheetViews>
    <sheetView tabSelected="1" workbookViewId="0">
      <selection activeCell="R37" sqref="R37"/>
    </sheetView>
  </sheetViews>
  <sheetFormatPr defaultRowHeight="15" x14ac:dyDescent="0.25"/>
  <cols>
    <col min="1" max="1" width="21.7109375" customWidth="1"/>
    <col min="2" max="2" width="23.42578125" customWidth="1"/>
    <col min="3" max="3" width="16.7109375" style="2" customWidth="1"/>
    <col min="4" max="4" width="17.7109375" style="3" customWidth="1"/>
    <col min="5" max="5" width="8.7109375" customWidth="1"/>
    <col min="6" max="6" width="30.140625" customWidth="1"/>
    <col min="7" max="8" width="17.7109375" style="3" customWidth="1"/>
    <col min="9" max="9" width="18.7109375" style="4" customWidth="1"/>
    <col min="10" max="10" width="17.7109375" style="3" customWidth="1"/>
    <col min="11" max="11" width="16.7109375" style="3" customWidth="1"/>
    <col min="12" max="12" width="19.7109375" style="3" customWidth="1"/>
    <col min="13" max="13" width="16.7109375" style="3" customWidth="1"/>
    <col min="14" max="14" width="10.7109375" style="5" customWidth="1"/>
    <col min="15" max="15" width="15.7109375" style="6" customWidth="1"/>
    <col min="16" max="16" width="13.7109375" style="7" customWidth="1"/>
    <col min="17" max="17" width="13.7109375" style="8" customWidth="1"/>
    <col min="18" max="18" width="21.7109375" style="9" customWidth="1"/>
    <col min="19" max="19" width="19.7109375" customWidth="1"/>
    <col min="20" max="20" width="13.7109375" customWidth="1"/>
    <col min="21" max="21" width="15.7109375" style="3" customWidth="1"/>
    <col min="22" max="22" width="17.7109375" customWidth="1"/>
    <col min="23" max="23" width="15.7109375" style="2" customWidth="1"/>
    <col min="24" max="24" width="40.7109375" customWidth="1"/>
    <col min="25" max="25" width="20.7109375" customWidth="1"/>
    <col min="26" max="26" width="19.7109375" customWidth="1"/>
    <col min="27" max="27" width="20.7109375" customWidth="1"/>
  </cols>
  <sheetData>
    <row r="1" spans="1:52" ht="21" x14ac:dyDescent="0.25">
      <c r="A1" s="1" t="s">
        <v>0</v>
      </c>
    </row>
    <row r="2" spans="1:52" ht="15.75" x14ac:dyDescent="0.25">
      <c r="A2" s="10" t="s">
        <v>1</v>
      </c>
    </row>
    <row r="3" spans="1:52" ht="15.75" x14ac:dyDescent="0.25">
      <c r="A3" s="11" t="s">
        <v>2</v>
      </c>
    </row>
    <row r="4" spans="1:52" x14ac:dyDescent="0.25">
      <c r="A4" s="12" t="s">
        <v>3</v>
      </c>
      <c r="B4" s="12" t="s">
        <v>4</v>
      </c>
      <c r="C4" s="13" t="s">
        <v>5</v>
      </c>
      <c r="D4" s="14" t="s">
        <v>6</v>
      </c>
      <c r="E4" s="12" t="s">
        <v>7</v>
      </c>
      <c r="F4" s="12" t="s">
        <v>8</v>
      </c>
      <c r="G4" s="14" t="s">
        <v>9</v>
      </c>
      <c r="H4" s="14" t="s">
        <v>10</v>
      </c>
      <c r="I4" s="15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6" t="s">
        <v>16</v>
      </c>
      <c r="O4" s="17" t="s">
        <v>17</v>
      </c>
      <c r="P4" s="18" t="s">
        <v>18</v>
      </c>
      <c r="Q4" s="19" t="s">
        <v>19</v>
      </c>
      <c r="R4" s="20" t="s">
        <v>20</v>
      </c>
      <c r="S4" s="12" t="s">
        <v>21</v>
      </c>
      <c r="T4" s="12" t="s">
        <v>22</v>
      </c>
      <c r="U4" s="14" t="s">
        <v>23</v>
      </c>
      <c r="V4" s="12" t="s">
        <v>24</v>
      </c>
      <c r="W4" s="13" t="s">
        <v>25</v>
      </c>
      <c r="X4" s="12" t="s">
        <v>26</v>
      </c>
      <c r="Y4" s="12" t="s">
        <v>27</v>
      </c>
      <c r="Z4" s="12" t="s">
        <v>28</v>
      </c>
      <c r="AA4" s="12" t="s">
        <v>29</v>
      </c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</row>
    <row r="5" spans="1:52" x14ac:dyDescent="0.25">
      <c r="A5" t="s">
        <v>30</v>
      </c>
      <c r="B5" t="s">
        <v>31</v>
      </c>
      <c r="C5" s="2">
        <v>44713</v>
      </c>
      <c r="D5" s="3">
        <v>233204</v>
      </c>
      <c r="E5" t="s">
        <v>32</v>
      </c>
      <c r="F5" t="s">
        <v>33</v>
      </c>
      <c r="G5" s="3">
        <v>233204</v>
      </c>
      <c r="H5" s="3">
        <v>152600</v>
      </c>
      <c r="I5" s="4">
        <f>H5/G5*100</f>
        <v>65.436270389873243</v>
      </c>
      <c r="J5" s="3">
        <v>386832</v>
      </c>
      <c r="K5" s="3">
        <v>96220</v>
      </c>
      <c r="L5" s="3">
        <f>G5-K5</f>
        <v>136984</v>
      </c>
      <c r="M5" s="3">
        <v>899993.33333000005</v>
      </c>
      <c r="N5" s="5">
        <f>L5/M5</f>
        <v>0.15220557189368886</v>
      </c>
      <c r="O5" s="6">
        <v>117393</v>
      </c>
      <c r="P5" s="7">
        <f>L5/O5</f>
        <v>1.16688388575128</v>
      </c>
      <c r="Q5" s="22" t="s">
        <v>34</v>
      </c>
      <c r="R5" s="9">
        <f>ABS(N$11-N5)*100</f>
        <v>22.400195264833382</v>
      </c>
      <c r="U5" s="3">
        <v>84205</v>
      </c>
      <c r="V5" t="s">
        <v>35</v>
      </c>
      <c r="W5" s="2" t="s">
        <v>36</v>
      </c>
      <c r="X5" t="s">
        <v>37</v>
      </c>
      <c r="Y5" t="s">
        <v>38</v>
      </c>
      <c r="Z5">
        <v>301</v>
      </c>
      <c r="AA5">
        <v>0</v>
      </c>
    </row>
    <row r="6" spans="1:52" x14ac:dyDescent="0.25">
      <c r="A6" t="s">
        <v>39</v>
      </c>
      <c r="B6" t="s">
        <v>40</v>
      </c>
      <c r="C6" s="2">
        <v>45027</v>
      </c>
      <c r="D6" s="3">
        <v>30000</v>
      </c>
      <c r="E6" t="s">
        <v>32</v>
      </c>
      <c r="F6" t="s">
        <v>41</v>
      </c>
      <c r="G6" s="3">
        <v>30000</v>
      </c>
      <c r="H6" s="3">
        <v>24600</v>
      </c>
      <c r="I6" s="4">
        <f>H6/G6*100</f>
        <v>82</v>
      </c>
      <c r="J6" s="3">
        <v>70285</v>
      </c>
      <c r="K6" s="3">
        <v>11750</v>
      </c>
      <c r="L6" s="3">
        <f>G6-K6</f>
        <v>18250</v>
      </c>
      <c r="M6" s="3">
        <v>71384.146340000007</v>
      </c>
      <c r="N6" s="5">
        <f>L6/M6</f>
        <v>0.2556590074366924</v>
      </c>
      <c r="O6" s="6">
        <v>4200</v>
      </c>
      <c r="P6" s="7">
        <f>L6/O6</f>
        <v>4.3452380952380949</v>
      </c>
      <c r="Q6" s="22" t="s">
        <v>42</v>
      </c>
      <c r="R6" s="9">
        <f>ABS(N$11-N6)*100</f>
        <v>12.054851710533027</v>
      </c>
      <c r="U6" s="3">
        <v>10048</v>
      </c>
      <c r="V6" t="s">
        <v>35</v>
      </c>
      <c r="W6" s="2" t="s">
        <v>36</v>
      </c>
      <c r="Y6" t="s">
        <v>38</v>
      </c>
      <c r="Z6">
        <v>201</v>
      </c>
      <c r="AA6">
        <v>0</v>
      </c>
    </row>
    <row r="7" spans="1:52" x14ac:dyDescent="0.25">
      <c r="A7" t="s">
        <v>43</v>
      </c>
      <c r="B7" t="s">
        <v>44</v>
      </c>
      <c r="C7" s="2">
        <v>44799</v>
      </c>
      <c r="D7" s="3">
        <v>403200</v>
      </c>
      <c r="E7" t="s">
        <v>32</v>
      </c>
      <c r="F7" t="s">
        <v>33</v>
      </c>
      <c r="G7" s="3">
        <v>403200</v>
      </c>
      <c r="H7" s="3">
        <v>201600</v>
      </c>
      <c r="I7" s="4">
        <f>H7/G7*100</f>
        <v>50</v>
      </c>
      <c r="J7" s="3">
        <v>596571</v>
      </c>
      <c r="K7" s="3">
        <v>94099</v>
      </c>
      <c r="L7" s="3">
        <f>G7-K7</f>
        <v>309101</v>
      </c>
      <c r="M7" s="3">
        <v>753527.11864</v>
      </c>
      <c r="N7" s="5">
        <f>L7/M7</f>
        <v>0.41020554184948188</v>
      </c>
      <c r="O7" s="6">
        <v>51441</v>
      </c>
      <c r="P7" s="7">
        <f>L7/O7</f>
        <v>6.0088450846600958</v>
      </c>
      <c r="Q7" s="22" t="s">
        <v>45</v>
      </c>
      <c r="R7" s="9">
        <f>ABS(N$11-N7)*100</f>
        <v>3.3998017307459216</v>
      </c>
      <c r="U7" s="3">
        <v>54400</v>
      </c>
      <c r="V7" t="s">
        <v>46</v>
      </c>
      <c r="W7" s="2">
        <v>45210</v>
      </c>
      <c r="X7" t="s">
        <v>47</v>
      </c>
      <c r="Y7" t="s">
        <v>38</v>
      </c>
      <c r="Z7">
        <v>301</v>
      </c>
      <c r="AA7">
        <v>0</v>
      </c>
    </row>
    <row r="8" spans="1:52" ht="15.75" thickBot="1" x14ac:dyDescent="0.3">
      <c r="A8" t="s">
        <v>48</v>
      </c>
      <c r="B8" t="s">
        <v>49</v>
      </c>
      <c r="C8" s="2">
        <v>45076</v>
      </c>
      <c r="D8" s="3">
        <v>100000</v>
      </c>
      <c r="E8" t="s">
        <v>32</v>
      </c>
      <c r="F8" t="s">
        <v>41</v>
      </c>
      <c r="G8" s="3">
        <v>100000</v>
      </c>
      <c r="H8" s="3">
        <v>79900</v>
      </c>
      <c r="I8" s="4">
        <f>H8/G8*100</f>
        <v>79.900000000000006</v>
      </c>
      <c r="J8" s="3">
        <v>110719</v>
      </c>
      <c r="K8" s="3">
        <v>8258</v>
      </c>
      <c r="L8" s="3">
        <f>G8-K8</f>
        <v>91742</v>
      </c>
      <c r="M8" s="3">
        <v>133586.70142999999</v>
      </c>
      <c r="N8" s="5">
        <f>L8/M8</f>
        <v>0.68675997698822744</v>
      </c>
      <c r="O8" s="6">
        <v>8640</v>
      </c>
      <c r="P8" s="7">
        <f>L8/O8</f>
        <v>10.618287037037037</v>
      </c>
      <c r="Q8" s="22" t="s">
        <v>45</v>
      </c>
      <c r="R8" s="9">
        <f>ABS(N$11-N8)*100</f>
        <v>31.055245244620476</v>
      </c>
      <c r="U8" s="3">
        <v>5752</v>
      </c>
      <c r="V8" t="s">
        <v>46</v>
      </c>
      <c r="W8" s="2">
        <v>45209</v>
      </c>
      <c r="Y8" t="s">
        <v>50</v>
      </c>
      <c r="Z8">
        <v>301</v>
      </c>
      <c r="AA8">
        <v>0</v>
      </c>
    </row>
    <row r="9" spans="1:52" ht="15.75" thickTop="1" x14ac:dyDescent="0.25">
      <c r="A9" s="23"/>
      <c r="B9" s="23"/>
      <c r="C9" s="24" t="s">
        <v>51</v>
      </c>
      <c r="D9" s="25">
        <f>+SUM(D5:D8)</f>
        <v>766404</v>
      </c>
      <c r="E9" s="23"/>
      <c r="F9" s="23"/>
      <c r="G9" s="25">
        <f>+SUM(G5:G8)</f>
        <v>766404</v>
      </c>
      <c r="H9" s="25">
        <f>+SUM(H5:H8)</f>
        <v>458700</v>
      </c>
      <c r="I9" s="26"/>
      <c r="J9" s="25">
        <f>+SUM(J5:J8)</f>
        <v>1164407</v>
      </c>
      <c r="K9" s="25"/>
      <c r="L9" s="25">
        <f>+SUM(L5:L8)</f>
        <v>556077</v>
      </c>
      <c r="M9" s="25">
        <f>+SUM(M5:M8)</f>
        <v>1858491.2997399999</v>
      </c>
      <c r="N9" s="27"/>
      <c r="O9" s="28"/>
      <c r="P9" s="29">
        <f>AVERAGE(P5:P8)</f>
        <v>5.5348135256716269</v>
      </c>
      <c r="Q9" s="30"/>
      <c r="R9" s="31">
        <f>ABS(N11-N10)*100</f>
        <v>7.6998698502431129</v>
      </c>
      <c r="S9" s="23"/>
      <c r="T9" s="23"/>
      <c r="U9" s="25"/>
      <c r="V9" s="23"/>
      <c r="W9" s="24"/>
      <c r="X9" s="23"/>
      <c r="Y9" s="23"/>
      <c r="Z9" s="23"/>
      <c r="AA9" s="23"/>
    </row>
    <row r="10" spans="1:52" x14ac:dyDescent="0.25">
      <c r="A10" s="32"/>
      <c r="B10" s="32"/>
      <c r="C10" s="33"/>
      <c r="D10" s="34"/>
      <c r="E10" s="32"/>
      <c r="F10" s="32"/>
      <c r="G10" s="34"/>
      <c r="H10" s="34" t="s">
        <v>52</v>
      </c>
      <c r="I10" s="35">
        <f>H9/G9*100</f>
        <v>59.850940235176232</v>
      </c>
      <c r="J10" s="34"/>
      <c r="K10" s="34"/>
      <c r="L10" s="34"/>
      <c r="M10" s="34" t="s">
        <v>53</v>
      </c>
      <c r="N10" s="36">
        <f>L9/M9</f>
        <v>0.29920882603959154</v>
      </c>
      <c r="O10" s="37"/>
      <c r="P10" s="38" t="s">
        <v>54</v>
      </c>
      <c r="Q10" s="39">
        <f>STDEV(N5:N8)</f>
        <v>0.23259944874379437</v>
      </c>
      <c r="R10" s="40"/>
      <c r="S10" s="32"/>
      <c r="T10" s="32"/>
      <c r="U10" s="34"/>
      <c r="V10" s="32"/>
      <c r="W10" s="33"/>
      <c r="X10" s="32"/>
      <c r="Y10" s="32"/>
      <c r="Z10" s="32"/>
      <c r="AA10" s="32"/>
    </row>
    <row r="11" spans="1:52" x14ac:dyDescent="0.25">
      <c r="A11" s="41"/>
      <c r="B11" s="41"/>
      <c r="C11" s="42"/>
      <c r="D11" s="43"/>
      <c r="E11" s="41"/>
      <c r="F11" s="41"/>
      <c r="G11" s="43"/>
      <c r="H11" s="43" t="s">
        <v>55</v>
      </c>
      <c r="I11" s="44">
        <f>STDEV(I5:I8)</f>
        <v>14.844345321764632</v>
      </c>
      <c r="J11" s="43"/>
      <c r="K11" s="43"/>
      <c r="L11" s="43"/>
      <c r="M11" s="43" t="s">
        <v>56</v>
      </c>
      <c r="N11" s="45">
        <f>AVERAGE(N5:N8)</f>
        <v>0.37620752454202266</v>
      </c>
      <c r="O11" s="46"/>
      <c r="P11" s="47" t="s">
        <v>57</v>
      </c>
      <c r="Q11" s="48">
        <f>AVERAGE(R5:R8)</f>
        <v>17.2275234876832</v>
      </c>
      <c r="R11" s="49" t="s">
        <v>58</v>
      </c>
      <c r="S11" s="41">
        <f>+(Q11/N11)</f>
        <v>45.792607440946796</v>
      </c>
      <c r="T11" s="41"/>
      <c r="U11" s="43"/>
      <c r="V11" s="41"/>
      <c r="W11" s="42"/>
      <c r="X11" s="41"/>
      <c r="Y11" s="41"/>
      <c r="Z11" s="41"/>
      <c r="AA11" s="41"/>
    </row>
    <row r="12" spans="1:52" x14ac:dyDescent="0.25">
      <c r="L12" s="50" t="s">
        <v>59</v>
      </c>
      <c r="M12" s="50" t="s">
        <v>56</v>
      </c>
      <c r="N12" s="51">
        <v>0.35582379586289764</v>
      </c>
      <c r="O12" s="52"/>
      <c r="P12" s="53" t="s">
        <v>54</v>
      </c>
      <c r="Q12" s="54">
        <v>0.49126749478654719</v>
      </c>
    </row>
    <row r="13" spans="1:52" x14ac:dyDescent="0.25">
      <c r="L13" s="55" t="s">
        <v>60</v>
      </c>
      <c r="M13" s="7" t="s">
        <v>61</v>
      </c>
      <c r="N13" s="56" t="s">
        <v>62</v>
      </c>
      <c r="O13" s="6" t="s">
        <v>63</v>
      </c>
      <c r="P13" s="3"/>
      <c r="Q13" s="3"/>
    </row>
    <row r="14" spans="1:52" x14ac:dyDescent="0.25">
      <c r="L14" s="57" t="s">
        <v>64</v>
      </c>
      <c r="M14" s="58">
        <f>$N$12-(1.5*$Q$12)</f>
        <v>-0.38107744631692314</v>
      </c>
      <c r="N14" s="59" t="s">
        <v>62</v>
      </c>
      <c r="O14" s="58">
        <f>$N$12+(1.5*$Q$12)</f>
        <v>1.0927250380427185</v>
      </c>
      <c r="P14"/>
      <c r="Q14"/>
    </row>
    <row r="15" spans="1:52" x14ac:dyDescent="0.25">
      <c r="L15" s="57" t="s">
        <v>65</v>
      </c>
      <c r="M15" s="60">
        <v>0.3</v>
      </c>
      <c r="N15"/>
      <c r="O15"/>
      <c r="P15"/>
      <c r="Q15"/>
    </row>
    <row r="16" spans="1:52" x14ac:dyDescent="0.25">
      <c r="A16" t="s">
        <v>66</v>
      </c>
    </row>
    <row r="17" spans="1:52" x14ac:dyDescent="0.25">
      <c r="A17" t="s">
        <v>67</v>
      </c>
      <c r="B17" t="s">
        <v>68</v>
      </c>
      <c r="C17" s="2">
        <v>44666</v>
      </c>
      <c r="D17" s="3">
        <v>160000</v>
      </c>
      <c r="E17" t="s">
        <v>32</v>
      </c>
      <c r="F17" t="s">
        <v>41</v>
      </c>
      <c r="G17" s="3">
        <v>160000</v>
      </c>
      <c r="H17" s="3">
        <v>35200</v>
      </c>
      <c r="I17" s="4">
        <f>H17/G17*100</f>
        <v>22</v>
      </c>
      <c r="J17" s="3">
        <v>49036</v>
      </c>
      <c r="K17" s="3">
        <v>18159</v>
      </c>
      <c r="L17" s="3">
        <f>G17-K17</f>
        <v>141841</v>
      </c>
      <c r="M17" s="3">
        <v>102923.33332999999</v>
      </c>
      <c r="N17" s="5">
        <f>L17/M17</f>
        <v>1.3781228746762355</v>
      </c>
      <c r="O17" s="6">
        <v>9880</v>
      </c>
      <c r="P17" s="7">
        <f>L17/O17</f>
        <v>14.356376518218623</v>
      </c>
      <c r="Q17" s="22" t="s">
        <v>34</v>
      </c>
      <c r="R17" s="9">
        <f>ABS(N$11-N17)*100</f>
        <v>100.19153501342129</v>
      </c>
      <c r="U17" s="3">
        <v>12948</v>
      </c>
      <c r="V17" t="s">
        <v>35</v>
      </c>
      <c r="W17" s="2" t="s">
        <v>36</v>
      </c>
      <c r="Y17" t="s">
        <v>50</v>
      </c>
      <c r="Z17">
        <v>301</v>
      </c>
      <c r="AA17">
        <v>0</v>
      </c>
    </row>
    <row r="20" spans="1:52" ht="15.75" x14ac:dyDescent="0.25">
      <c r="A20" s="10" t="s">
        <v>69</v>
      </c>
    </row>
    <row r="21" spans="1:52" ht="15.75" x14ac:dyDescent="0.25">
      <c r="A21" s="11" t="s">
        <v>70</v>
      </c>
    </row>
    <row r="22" spans="1:52" x14ac:dyDescent="0.25">
      <c r="A22" s="12" t="s">
        <v>3</v>
      </c>
      <c r="B22" s="12" t="s">
        <v>4</v>
      </c>
      <c r="C22" s="13" t="s">
        <v>5</v>
      </c>
      <c r="D22" s="14" t="s">
        <v>6</v>
      </c>
      <c r="E22" s="12" t="s">
        <v>7</v>
      </c>
      <c r="F22" s="12" t="s">
        <v>8</v>
      </c>
      <c r="G22" s="14" t="s">
        <v>9</v>
      </c>
      <c r="H22" s="14" t="s">
        <v>10</v>
      </c>
      <c r="I22" s="15" t="s">
        <v>11</v>
      </c>
      <c r="J22" s="14" t="s">
        <v>12</v>
      </c>
      <c r="K22" s="14" t="s">
        <v>13</v>
      </c>
      <c r="L22" s="14" t="s">
        <v>14</v>
      </c>
      <c r="M22" s="14" t="s">
        <v>15</v>
      </c>
      <c r="N22" s="16" t="s">
        <v>16</v>
      </c>
      <c r="O22" s="17" t="s">
        <v>17</v>
      </c>
      <c r="P22" s="18" t="s">
        <v>18</v>
      </c>
      <c r="Q22" s="19" t="s">
        <v>19</v>
      </c>
      <c r="R22" s="20" t="s">
        <v>20</v>
      </c>
      <c r="S22" s="12" t="s">
        <v>21</v>
      </c>
      <c r="T22" s="12" t="s">
        <v>22</v>
      </c>
      <c r="U22" s="14" t="s">
        <v>23</v>
      </c>
      <c r="V22" s="12" t="s">
        <v>24</v>
      </c>
      <c r="W22" s="13" t="s">
        <v>25</v>
      </c>
      <c r="X22" s="12" t="s">
        <v>26</v>
      </c>
      <c r="Y22" s="12" t="s">
        <v>27</v>
      </c>
      <c r="Z22" s="12" t="s">
        <v>28</v>
      </c>
      <c r="AA22" s="12" t="s">
        <v>29</v>
      </c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</row>
    <row r="23" spans="1:52" x14ac:dyDescent="0.25">
      <c r="A23" t="s">
        <v>71</v>
      </c>
      <c r="B23" t="s">
        <v>72</v>
      </c>
      <c r="C23" s="2">
        <v>45062</v>
      </c>
      <c r="D23" s="3">
        <v>725000</v>
      </c>
      <c r="E23" t="s">
        <v>32</v>
      </c>
      <c r="F23" t="s">
        <v>33</v>
      </c>
      <c r="G23" s="3">
        <v>725000</v>
      </c>
      <c r="H23" s="3">
        <v>421800</v>
      </c>
      <c r="I23" s="4">
        <f>H23/G23*100</f>
        <v>58.179310344827584</v>
      </c>
      <c r="J23" s="3">
        <v>923349</v>
      </c>
      <c r="K23" s="3">
        <v>131011</v>
      </c>
      <c r="L23" s="3">
        <f>G23-K23</f>
        <v>593989</v>
      </c>
      <c r="M23" s="3">
        <v>696746.29628999997</v>
      </c>
      <c r="N23" s="5">
        <f>L23/M23</f>
        <v>0.85251834586397246</v>
      </c>
      <c r="O23" s="6">
        <v>18344</v>
      </c>
      <c r="P23" s="7">
        <f>L23/O23</f>
        <v>32.380560401221111</v>
      </c>
      <c r="Q23" s="22" t="s">
        <v>73</v>
      </c>
      <c r="R23" s="9">
        <f>ABS(N$33-N23)*100</f>
        <v>20.42104964272351</v>
      </c>
      <c r="U23" s="3">
        <v>87150</v>
      </c>
      <c r="V23" t="s">
        <v>35</v>
      </c>
      <c r="W23" s="2">
        <v>45579</v>
      </c>
      <c r="X23" t="s">
        <v>74</v>
      </c>
      <c r="Y23" t="s">
        <v>50</v>
      </c>
      <c r="Z23">
        <v>301</v>
      </c>
      <c r="AA23">
        <v>0</v>
      </c>
    </row>
    <row r="24" spans="1:52" x14ac:dyDescent="0.25">
      <c r="A24" t="s">
        <v>75</v>
      </c>
      <c r="B24" t="s">
        <v>76</v>
      </c>
      <c r="C24" s="2">
        <v>44713</v>
      </c>
      <c r="D24" s="3">
        <v>290000</v>
      </c>
      <c r="E24" t="s">
        <v>32</v>
      </c>
      <c r="F24" t="s">
        <v>41</v>
      </c>
      <c r="G24" s="3">
        <v>290000</v>
      </c>
      <c r="H24" s="3">
        <v>115100</v>
      </c>
      <c r="I24" s="4">
        <f>H24/G24*100</f>
        <v>39.689655172413794</v>
      </c>
      <c r="J24" s="3">
        <v>258671</v>
      </c>
      <c r="K24" s="3">
        <v>49688</v>
      </c>
      <c r="L24" s="3">
        <f>G24-K24</f>
        <v>240312</v>
      </c>
      <c r="M24" s="3">
        <v>254857.31706999999</v>
      </c>
      <c r="N24" s="5">
        <f>L24/M24</f>
        <v>0.94292760656346031</v>
      </c>
      <c r="O24" s="6">
        <v>14400</v>
      </c>
      <c r="P24" s="7">
        <f>L24/O24</f>
        <v>16.688333333333333</v>
      </c>
      <c r="Q24" s="22" t="s">
        <v>42</v>
      </c>
      <c r="R24" s="9">
        <f>ABS(N$33-N24)*100</f>
        <v>11.380123572774725</v>
      </c>
      <c r="U24" s="3">
        <v>34528</v>
      </c>
      <c r="V24" t="s">
        <v>35</v>
      </c>
      <c r="W24" s="2" t="s">
        <v>36</v>
      </c>
      <c r="Y24" t="s">
        <v>50</v>
      </c>
      <c r="Z24">
        <v>201</v>
      </c>
      <c r="AA24">
        <v>0</v>
      </c>
    </row>
    <row r="25" spans="1:52" x14ac:dyDescent="0.25">
      <c r="A25" t="s">
        <v>77</v>
      </c>
      <c r="B25" t="s">
        <v>78</v>
      </c>
      <c r="C25" s="2">
        <v>44951</v>
      </c>
      <c r="D25" s="3">
        <v>615000</v>
      </c>
      <c r="E25" t="s">
        <v>32</v>
      </c>
      <c r="F25" t="s">
        <v>41</v>
      </c>
      <c r="G25" s="3">
        <v>366000</v>
      </c>
      <c r="H25" s="3">
        <v>190600</v>
      </c>
      <c r="I25" s="4">
        <f>H25/G25*100</f>
        <v>52.076502732240435</v>
      </c>
      <c r="J25" s="3">
        <v>387873</v>
      </c>
      <c r="K25" s="3">
        <v>119368</v>
      </c>
      <c r="L25" s="3">
        <f>G25-K25</f>
        <v>246632</v>
      </c>
      <c r="M25" s="3">
        <v>248615.74074000001</v>
      </c>
      <c r="N25" s="5">
        <f>L25/M25</f>
        <v>0.99202085622537239</v>
      </c>
      <c r="O25" s="6">
        <v>34746</v>
      </c>
      <c r="P25" s="7">
        <f>L25/O25</f>
        <v>7.098140793184827</v>
      </c>
      <c r="Q25" s="22" t="s">
        <v>73</v>
      </c>
      <c r="R25" s="9">
        <f>ABS(N$33-N25)*100</f>
        <v>6.4707986065835161</v>
      </c>
      <c r="U25" s="3">
        <v>117491</v>
      </c>
      <c r="V25" t="s">
        <v>35</v>
      </c>
      <c r="W25" s="2" t="s">
        <v>36</v>
      </c>
      <c r="Y25" t="s">
        <v>38</v>
      </c>
      <c r="Z25">
        <v>301</v>
      </c>
      <c r="AA25">
        <v>0</v>
      </c>
    </row>
    <row r="26" spans="1:52" x14ac:dyDescent="0.25">
      <c r="A26" t="s">
        <v>79</v>
      </c>
      <c r="B26" t="s">
        <v>80</v>
      </c>
      <c r="C26" s="2">
        <v>44664</v>
      </c>
      <c r="D26" s="3">
        <v>250000</v>
      </c>
      <c r="E26" t="s">
        <v>81</v>
      </c>
      <c r="F26" t="s">
        <v>41</v>
      </c>
      <c r="G26" s="3">
        <v>250000</v>
      </c>
      <c r="H26" s="3">
        <v>102900</v>
      </c>
      <c r="I26" s="4">
        <f>H26/G26*100</f>
        <v>41.160000000000004</v>
      </c>
      <c r="J26" s="3">
        <v>259440</v>
      </c>
      <c r="K26" s="3">
        <v>33135</v>
      </c>
      <c r="L26" s="3">
        <f>G26-K26</f>
        <v>216865</v>
      </c>
      <c r="M26" s="3">
        <v>209541.66667000001</v>
      </c>
      <c r="N26" s="5">
        <f>L26/M26</f>
        <v>1.0349492940777896</v>
      </c>
      <c r="O26" s="6">
        <v>14218</v>
      </c>
      <c r="P26" s="7">
        <f>L26/O26</f>
        <v>15.252848501899001</v>
      </c>
      <c r="Q26" s="22" t="s">
        <v>73</v>
      </c>
      <c r="R26" s="9">
        <f>ABS(N$33-N26)*100</f>
        <v>2.1779548213417987</v>
      </c>
      <c r="U26" s="3">
        <v>28718</v>
      </c>
      <c r="V26" t="s">
        <v>35</v>
      </c>
      <c r="W26" s="2">
        <v>45597</v>
      </c>
      <c r="Y26" t="s">
        <v>50</v>
      </c>
      <c r="Z26">
        <v>301</v>
      </c>
      <c r="AA26">
        <v>0</v>
      </c>
    </row>
    <row r="27" spans="1:52" x14ac:dyDescent="0.25">
      <c r="A27" t="s">
        <v>82</v>
      </c>
      <c r="B27" t="s">
        <v>83</v>
      </c>
      <c r="C27" s="2">
        <v>44819</v>
      </c>
      <c r="D27" s="3">
        <v>250000</v>
      </c>
      <c r="E27" t="s">
        <v>81</v>
      </c>
      <c r="F27" t="s">
        <v>41</v>
      </c>
      <c r="G27" s="3">
        <v>250000</v>
      </c>
      <c r="H27" s="3">
        <v>63600</v>
      </c>
      <c r="I27" s="4">
        <f>H27/G27*100</f>
        <v>25.44</v>
      </c>
      <c r="J27" s="3">
        <v>252778</v>
      </c>
      <c r="K27" s="3">
        <v>39125</v>
      </c>
      <c r="L27" s="3">
        <f>G27-K27</f>
        <v>210875</v>
      </c>
      <c r="M27" s="3">
        <v>197826.85185000001</v>
      </c>
      <c r="N27" s="5">
        <f>L27/M27</f>
        <v>1.0659574169430428</v>
      </c>
      <c r="O27" s="6">
        <v>5490</v>
      </c>
      <c r="P27" s="7">
        <f>L27/O27</f>
        <v>38.410746812386158</v>
      </c>
      <c r="Q27" s="22" t="s">
        <v>73</v>
      </c>
      <c r="R27" s="9">
        <f>ABS(N$33-N27)*100</f>
        <v>0.92285746518352418</v>
      </c>
      <c r="U27" s="3">
        <v>33781</v>
      </c>
      <c r="V27" t="s">
        <v>46</v>
      </c>
      <c r="W27" s="2" t="s">
        <v>36</v>
      </c>
      <c r="Y27" t="s">
        <v>50</v>
      </c>
      <c r="Z27">
        <v>301</v>
      </c>
      <c r="AA27">
        <v>0</v>
      </c>
    </row>
    <row r="28" spans="1:52" x14ac:dyDescent="0.25">
      <c r="A28" t="s">
        <v>84</v>
      </c>
      <c r="B28" t="s">
        <v>85</v>
      </c>
      <c r="C28" s="2">
        <v>45200</v>
      </c>
      <c r="D28" s="3">
        <v>200000</v>
      </c>
      <c r="E28" t="s">
        <v>32</v>
      </c>
      <c r="F28" t="s">
        <v>41</v>
      </c>
      <c r="G28" s="3">
        <v>200000</v>
      </c>
      <c r="H28" s="3">
        <v>80400</v>
      </c>
      <c r="I28" s="4">
        <f>H28/G28*100</f>
        <v>40.200000000000003</v>
      </c>
      <c r="J28" s="3">
        <v>163807</v>
      </c>
      <c r="K28" s="3">
        <v>58762</v>
      </c>
      <c r="L28" s="3">
        <f>G28-K28</f>
        <v>141238</v>
      </c>
      <c r="M28" s="3">
        <v>128103.65805875001</v>
      </c>
      <c r="N28" s="5">
        <f>L28/M28</f>
        <v>1.1025290154885852</v>
      </c>
      <c r="O28" s="6">
        <v>3240</v>
      </c>
      <c r="P28" s="7">
        <f>L28/O28</f>
        <v>43.591975308641977</v>
      </c>
      <c r="Q28" s="22" t="s">
        <v>42</v>
      </c>
      <c r="R28" s="9">
        <f>ABS(N$33-N28)*100</f>
        <v>4.5800173197377614</v>
      </c>
      <c r="S28" t="s">
        <v>86</v>
      </c>
      <c r="U28" s="3">
        <v>52788</v>
      </c>
      <c r="V28" t="s">
        <v>35</v>
      </c>
      <c r="W28" s="2" t="s">
        <v>36</v>
      </c>
      <c r="Y28" t="s">
        <v>50</v>
      </c>
      <c r="Z28">
        <v>201</v>
      </c>
      <c r="AA28">
        <v>41</v>
      </c>
    </row>
    <row r="29" spans="1:52" x14ac:dyDescent="0.25">
      <c r="A29" t="s">
        <v>87</v>
      </c>
      <c r="B29" t="s">
        <v>88</v>
      </c>
      <c r="C29" s="2">
        <v>45265</v>
      </c>
      <c r="D29" s="3">
        <v>530000</v>
      </c>
      <c r="E29" t="s">
        <v>32</v>
      </c>
      <c r="F29" t="s">
        <v>41</v>
      </c>
      <c r="G29" s="3">
        <v>530000</v>
      </c>
      <c r="H29" s="3">
        <v>161800</v>
      </c>
      <c r="I29" s="4">
        <f>H29/G29*100</f>
        <v>30.528301886792452</v>
      </c>
      <c r="J29" s="3">
        <v>506990</v>
      </c>
      <c r="K29" s="3">
        <v>82218</v>
      </c>
      <c r="L29" s="3">
        <f>G29-K29</f>
        <v>447782</v>
      </c>
      <c r="M29" s="3">
        <v>393307.40740999999</v>
      </c>
      <c r="N29" s="5">
        <f>L29/M29</f>
        <v>1.138503856178873</v>
      </c>
      <c r="O29" s="6">
        <v>14415</v>
      </c>
      <c r="P29" s="7">
        <f>L29/O29</f>
        <v>31.063614290669442</v>
      </c>
      <c r="Q29" s="22" t="s">
        <v>73</v>
      </c>
      <c r="R29" s="9">
        <f>ABS(N$33-N29)*100</f>
        <v>8.1775013887665402</v>
      </c>
      <c r="U29" s="3">
        <v>67064</v>
      </c>
      <c r="V29" t="s">
        <v>35</v>
      </c>
      <c r="W29" s="2" t="s">
        <v>36</v>
      </c>
      <c r="Y29" t="s">
        <v>50</v>
      </c>
      <c r="Z29">
        <v>301</v>
      </c>
      <c r="AA29">
        <v>0</v>
      </c>
    </row>
    <row r="30" spans="1:52" ht="15.75" thickBot="1" x14ac:dyDescent="0.3">
      <c r="A30" t="s">
        <v>89</v>
      </c>
      <c r="B30" t="s">
        <v>90</v>
      </c>
      <c r="C30" s="2">
        <v>44774</v>
      </c>
      <c r="D30" s="3">
        <v>1240000</v>
      </c>
      <c r="E30" t="s">
        <v>32</v>
      </c>
      <c r="F30" t="s">
        <v>41</v>
      </c>
      <c r="G30" s="3">
        <v>1240000</v>
      </c>
      <c r="H30" s="3">
        <v>316700</v>
      </c>
      <c r="I30" s="4">
        <f>H30/G30*100</f>
        <v>25.540322580645164</v>
      </c>
      <c r="J30" s="3">
        <v>1036550</v>
      </c>
      <c r="K30" s="3">
        <v>137597</v>
      </c>
      <c r="L30" s="3">
        <f>G30-K30</f>
        <v>1102403</v>
      </c>
      <c r="M30" s="3">
        <v>832363.88888999994</v>
      </c>
      <c r="N30" s="5">
        <f>L30/M30</f>
        <v>1.3244243469885641</v>
      </c>
      <c r="O30" s="6">
        <v>27079</v>
      </c>
      <c r="P30" s="7">
        <f>L30/O30</f>
        <v>40.710624469145834</v>
      </c>
      <c r="Q30" s="22" t="s">
        <v>73</v>
      </c>
      <c r="R30" s="9">
        <f>ABS(N$33-N30)*100</f>
        <v>26.769550469735659</v>
      </c>
      <c r="U30" s="3">
        <v>70052</v>
      </c>
      <c r="V30" t="s">
        <v>35</v>
      </c>
      <c r="W30" s="2" t="s">
        <v>36</v>
      </c>
      <c r="Y30" t="s">
        <v>50</v>
      </c>
      <c r="Z30">
        <v>301</v>
      </c>
      <c r="AA30">
        <v>0</v>
      </c>
    </row>
    <row r="31" spans="1:52" ht="15.75" thickTop="1" x14ac:dyDescent="0.25">
      <c r="A31" s="23"/>
      <c r="B31" s="23"/>
      <c r="C31" s="24" t="s">
        <v>51</v>
      </c>
      <c r="D31" s="25">
        <f>+SUM(D23:D30)</f>
        <v>4100000</v>
      </c>
      <c r="E31" s="23"/>
      <c r="F31" s="23"/>
      <c r="G31" s="25">
        <f>+SUM(G23:G30)</f>
        <v>3851000</v>
      </c>
      <c r="H31" s="25">
        <f>+SUM(H23:H30)</f>
        <v>1452900</v>
      </c>
      <c r="I31" s="26"/>
      <c r="J31" s="25">
        <f>+SUM(J23:J30)</f>
        <v>3789458</v>
      </c>
      <c r="K31" s="25"/>
      <c r="L31" s="25">
        <f>+SUM(L23:L30)</f>
        <v>3200096</v>
      </c>
      <c r="M31" s="25">
        <f>+SUM(M23:M30)</f>
        <v>2961362.8269787496</v>
      </c>
      <c r="N31" s="27"/>
      <c r="O31" s="28"/>
      <c r="P31" s="29">
        <f>AVERAGE(P23:P30)</f>
        <v>28.149605488810213</v>
      </c>
      <c r="Q31" s="30"/>
      <c r="R31" s="31">
        <f>ABS(N33-N32)*100</f>
        <v>2.3887139933709944</v>
      </c>
      <c r="S31" s="23"/>
      <c r="T31" s="23"/>
      <c r="U31" s="25"/>
      <c r="V31" s="23"/>
      <c r="W31" s="24"/>
      <c r="X31" s="23"/>
      <c r="Y31" s="23"/>
      <c r="Z31" s="23"/>
      <c r="AA31" s="23"/>
    </row>
    <row r="32" spans="1:52" x14ac:dyDescent="0.25">
      <c r="A32" s="32"/>
      <c r="B32" s="32"/>
      <c r="C32" s="33"/>
      <c r="D32" s="34"/>
      <c r="E32" s="32"/>
      <c r="F32" s="32"/>
      <c r="G32" s="34"/>
      <c r="H32" s="34" t="s">
        <v>52</v>
      </c>
      <c r="I32" s="35">
        <f>H31/G31*100</f>
        <v>37.727862892755127</v>
      </c>
      <c r="J32" s="34"/>
      <c r="K32" s="34"/>
      <c r="L32" s="34"/>
      <c r="M32" s="34" t="s">
        <v>53</v>
      </c>
      <c r="N32" s="36">
        <f>L31/M31</f>
        <v>1.0806159822249175</v>
      </c>
      <c r="O32" s="37"/>
      <c r="P32" s="38" t="s">
        <v>54</v>
      </c>
      <c r="Q32" s="39">
        <f>STDEV(N23:N30)</f>
        <v>0.1413430370571693</v>
      </c>
      <c r="R32" s="40"/>
      <c r="S32" s="32"/>
      <c r="T32" s="32"/>
      <c r="U32" s="34"/>
      <c r="V32" s="32"/>
      <c r="W32" s="33"/>
      <c r="X32" s="32"/>
      <c r="Y32" s="32"/>
      <c r="Z32" s="32"/>
      <c r="AA32" s="32"/>
    </row>
    <row r="33" spans="1:27" x14ac:dyDescent="0.25">
      <c r="A33" s="41"/>
      <c r="B33" s="41"/>
      <c r="C33" s="42"/>
      <c r="D33" s="43"/>
      <c r="E33" s="41"/>
      <c r="F33" s="41"/>
      <c r="G33" s="43"/>
      <c r="H33" s="43" t="s">
        <v>55</v>
      </c>
      <c r="I33" s="44">
        <f>STDEV(I23:I30)</f>
        <v>11.845104082349122</v>
      </c>
      <c r="J33" s="43"/>
      <c r="K33" s="43"/>
      <c r="L33" s="43"/>
      <c r="M33" s="43" t="s">
        <v>56</v>
      </c>
      <c r="N33" s="45">
        <f>AVERAGE(N23:N30)</f>
        <v>1.0567288422912076</v>
      </c>
      <c r="O33" s="46"/>
      <c r="P33" s="47" t="s">
        <v>57</v>
      </c>
      <c r="Q33" s="48">
        <f>AVERAGE(R23:R30)</f>
        <v>10.112481660855881</v>
      </c>
      <c r="R33" s="49" t="s">
        <v>58</v>
      </c>
      <c r="S33" s="41">
        <f>+(Q33/N33)</f>
        <v>9.5696088307099867</v>
      </c>
      <c r="T33" s="41"/>
      <c r="U33" s="43"/>
      <c r="V33" s="41"/>
      <c r="W33" s="42"/>
      <c r="X33" s="41"/>
      <c r="Y33" s="41"/>
      <c r="Z33" s="41"/>
      <c r="AA33" s="41"/>
    </row>
    <row r="34" spans="1:27" x14ac:dyDescent="0.25">
      <c r="L34" s="50" t="s">
        <v>59</v>
      </c>
      <c r="M34" s="50" t="s">
        <v>56</v>
      </c>
      <c r="N34" s="51">
        <v>1.0144140291611541</v>
      </c>
      <c r="O34" s="52"/>
      <c r="P34" s="53" t="s">
        <v>54</v>
      </c>
      <c r="Q34" s="54">
        <v>0.24109850962534163</v>
      </c>
    </row>
    <row r="35" spans="1:27" x14ac:dyDescent="0.25">
      <c r="L35" s="55" t="s">
        <v>60</v>
      </c>
      <c r="M35" s="7" t="s">
        <v>61</v>
      </c>
      <c r="N35" s="56" t="s">
        <v>62</v>
      </c>
      <c r="O35" s="6" t="s">
        <v>63</v>
      </c>
      <c r="P35" s="3"/>
      <c r="Q35" s="3"/>
    </row>
    <row r="36" spans="1:27" x14ac:dyDescent="0.25">
      <c r="L36" s="57" t="s">
        <v>64</v>
      </c>
      <c r="M36" s="58">
        <f>$N$34-(1.5*$Q$34)</f>
        <v>0.65276626472314159</v>
      </c>
      <c r="N36" s="59" t="s">
        <v>62</v>
      </c>
      <c r="O36" s="58">
        <f>$N$34+(1.5*$Q$34)</f>
        <v>1.3760617935991666</v>
      </c>
      <c r="P36"/>
      <c r="Q36"/>
    </row>
    <row r="37" spans="1:27" x14ac:dyDescent="0.25">
      <c r="L37" s="57" t="s">
        <v>65</v>
      </c>
      <c r="M37" s="60">
        <v>1.08</v>
      </c>
      <c r="N37"/>
      <c r="O37"/>
      <c r="P37"/>
      <c r="Q37"/>
    </row>
    <row r="38" spans="1:27" x14ac:dyDescent="0.25">
      <c r="A38" t="s">
        <v>66</v>
      </c>
    </row>
    <row r="39" spans="1:27" x14ac:dyDescent="0.25">
      <c r="A39" t="s">
        <v>91</v>
      </c>
      <c r="B39" t="s">
        <v>92</v>
      </c>
      <c r="C39" s="2">
        <v>45210</v>
      </c>
      <c r="D39" s="3">
        <v>250000</v>
      </c>
      <c r="E39" t="s">
        <v>32</v>
      </c>
      <c r="F39" t="s">
        <v>41</v>
      </c>
      <c r="G39" s="3">
        <v>250000</v>
      </c>
      <c r="H39" s="3">
        <v>211100</v>
      </c>
      <c r="I39" s="4">
        <f>H39/G39*100</f>
        <v>84.44</v>
      </c>
      <c r="J39" s="3">
        <v>452242</v>
      </c>
      <c r="K39" s="3">
        <v>31584</v>
      </c>
      <c r="L39" s="3">
        <f>G39-K39</f>
        <v>218416</v>
      </c>
      <c r="M39" s="3">
        <v>389498.14815000002</v>
      </c>
      <c r="N39" s="5">
        <f>L39/M39</f>
        <v>0.56076261475801825</v>
      </c>
      <c r="O39" s="6">
        <v>19534</v>
      </c>
      <c r="P39" s="7">
        <f>L39/O39</f>
        <v>11.181324869458381</v>
      </c>
      <c r="Q39" s="22" t="s">
        <v>73</v>
      </c>
      <c r="R39" s="9">
        <f>ABS(N$33-N39)*100</f>
        <v>49.596622753318933</v>
      </c>
      <c r="T39" t="s">
        <v>93</v>
      </c>
      <c r="U39" s="3">
        <v>14276</v>
      </c>
      <c r="V39" t="s">
        <v>35</v>
      </c>
      <c r="W39" s="2" t="s">
        <v>36</v>
      </c>
      <c r="Y39" t="s">
        <v>50</v>
      </c>
      <c r="Z39">
        <v>301</v>
      </c>
      <c r="AA39">
        <v>0</v>
      </c>
    </row>
    <row r="40" spans="1:27" x14ac:dyDescent="0.25">
      <c r="A40" t="s">
        <v>94</v>
      </c>
      <c r="B40" t="s">
        <v>95</v>
      </c>
      <c r="C40" s="2">
        <v>44896</v>
      </c>
      <c r="D40" s="3">
        <v>54500</v>
      </c>
      <c r="E40" t="s">
        <v>81</v>
      </c>
      <c r="F40" t="s">
        <v>41</v>
      </c>
      <c r="G40" s="3">
        <v>54500</v>
      </c>
      <c r="H40" s="3">
        <v>31700</v>
      </c>
      <c r="I40" s="4">
        <f>H40/G40*100</f>
        <v>58.165137614678898</v>
      </c>
      <c r="J40" s="3">
        <v>74097</v>
      </c>
      <c r="K40" s="3">
        <v>29290</v>
      </c>
      <c r="L40" s="3">
        <f>G40-K40</f>
        <v>25210</v>
      </c>
      <c r="M40" s="3">
        <v>43928.431369999998</v>
      </c>
      <c r="N40" s="5">
        <f>L40/M40</f>
        <v>0.57388800860339029</v>
      </c>
      <c r="O40" s="6">
        <v>2700</v>
      </c>
      <c r="P40" s="7">
        <f>L40/O40</f>
        <v>9.337037037037037</v>
      </c>
      <c r="Q40" s="22" t="s">
        <v>96</v>
      </c>
      <c r="R40" s="9">
        <f>ABS(N$33-N40)*100</f>
        <v>48.284083368781729</v>
      </c>
      <c r="U40" s="3">
        <v>29000</v>
      </c>
      <c r="V40" t="s">
        <v>35</v>
      </c>
      <c r="W40" s="2" t="s">
        <v>36</v>
      </c>
      <c r="Y40" t="s">
        <v>97</v>
      </c>
      <c r="Z40">
        <v>201</v>
      </c>
      <c r="AA40">
        <v>0</v>
      </c>
    </row>
  </sheetData>
  <conditionalFormatting sqref="A5:AA8 A23:AA30">
    <cfRule type="expression" dxfId="5" priority="5" stopIfTrue="1">
      <formula>MOD(ROW(),4)&gt;1</formula>
    </cfRule>
    <cfRule type="expression" dxfId="4" priority="6" stopIfTrue="1">
      <formula>MOD(ROW(),4)&lt;2</formula>
    </cfRule>
  </conditionalFormatting>
  <conditionalFormatting sqref="A17:AA17">
    <cfRule type="expression" dxfId="3" priority="3" stopIfTrue="1">
      <formula>MOD(ROW(),4)&gt;1</formula>
    </cfRule>
    <cfRule type="expression" dxfId="2" priority="4" stopIfTrue="1">
      <formula>MOD(ROW(),4)&lt;2</formula>
    </cfRule>
  </conditionalFormatting>
  <conditionalFormatting sqref="A39:AA40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 E.C.F.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Gooch, Liz</dc:creator>
  <cp:lastModifiedBy>Gooch, Liz</cp:lastModifiedBy>
  <dcterms:created xsi:type="dcterms:W3CDTF">2024-11-27T20:46:51Z</dcterms:created>
  <dcterms:modified xsi:type="dcterms:W3CDTF">2024-11-27T20:49:51Z</dcterms:modified>
</cp:coreProperties>
</file>