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Wendling Forms\Web Forms\StormwaterDesignGuidelines2021-01-05\"/>
    </mc:Choice>
  </mc:AlternateContent>
  <xr:revisionPtr revIDLastSave="0" documentId="14_{2704B5A4-788E-4F8A-A0B6-A5190058621C}" xr6:coauthVersionLast="47" xr6:coauthVersionMax="47" xr10:uidLastSave="{00000000-0000-0000-0000-000000000000}"/>
  <bookViews>
    <workbookView xWindow="28680" yWindow="-120" windowWidth="29040" windowHeight="15720" xr2:uid="{B0746C27-D430-4D79-8324-2FAFD2F8FB20}"/>
  </bookViews>
  <sheets>
    <sheet name="Site Description" sheetId="8" r:id="rId1"/>
    <sheet name="Runoff Coefficient" sheetId="5" r:id="rId2"/>
    <sheet name="General Stormwater Calculations" sheetId="9" r:id="rId3"/>
    <sheet name="Stormwater Calculations - IF" sheetId="11" r:id="rId4"/>
    <sheet name="Sheet7" sheetId="10" state="hidden" r:id="rId5"/>
  </sheets>
  <definedNames>
    <definedName name="_xlnm.Print_Area" localSheetId="2">'General Stormwater Calculations'!$A$1:$E$113</definedName>
    <definedName name="_xlnm.Print_Area" localSheetId="1">'Runoff Coefficient'!$A$1:$E$18</definedName>
    <definedName name="_xlnm.Print_Area" localSheetId="3">'Stormwater Calculations - IF'!$A$1:$E$136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1" l="1"/>
  <c r="D23" i="11" s="1"/>
  <c r="D31" i="11" l="1"/>
  <c r="D27" i="11"/>
  <c r="D28" i="10"/>
  <c r="D36" i="10" s="1"/>
  <c r="J39" i="8" l="1"/>
  <c r="D39" i="8"/>
  <c r="J38" i="8"/>
  <c r="D38" i="8"/>
  <c r="J37" i="8"/>
  <c r="D37" i="8"/>
  <c r="J36" i="8"/>
  <c r="D36" i="8"/>
  <c r="J35" i="8"/>
  <c r="D35" i="8"/>
  <c r="D124" i="11" l="1"/>
  <c r="D132" i="11" s="1"/>
  <c r="D75" i="11"/>
  <c r="D81" i="11" s="1"/>
  <c r="D64" i="11"/>
  <c r="D63" i="11"/>
  <c r="D70" i="11" l="1"/>
  <c r="D101" i="9"/>
  <c r="D109" i="9" s="1"/>
  <c r="D52" i="9"/>
  <c r="D58" i="9" s="1"/>
  <c r="D41" i="9"/>
  <c r="D40" i="9"/>
  <c r="D47" i="9" l="1"/>
  <c r="D37" i="5" l="1"/>
  <c r="C36" i="5"/>
  <c r="E36" i="5" s="1"/>
  <c r="E35" i="5"/>
  <c r="E34" i="5"/>
  <c r="C34" i="5"/>
  <c r="E33" i="5"/>
  <c r="C33" i="5"/>
  <c r="C32" i="5"/>
  <c r="E32" i="5" s="1"/>
  <c r="C31" i="5"/>
  <c r="E31" i="5" s="1"/>
  <c r="C30" i="5"/>
  <c r="E30" i="5" s="1"/>
  <c r="C29" i="5"/>
  <c r="E29" i="5" s="1"/>
  <c r="E28" i="5"/>
  <c r="C28" i="5"/>
  <c r="E37" i="5" l="1"/>
  <c r="C39" i="5" s="1"/>
  <c r="D14" i="10" s="1"/>
  <c r="B2" i="5" l="1"/>
  <c r="B24" i="5" s="1"/>
  <c r="B3" i="5"/>
  <c r="B25" i="5" s="1"/>
  <c r="D15" i="5" l="1"/>
  <c r="D10" i="11" s="1"/>
  <c r="C9" i="5"/>
  <c r="D7" i="9" l="1"/>
  <c r="C6" i="5"/>
  <c r="D18" i="11" l="1"/>
  <c r="D19" i="11"/>
  <c r="D13" i="10"/>
  <c r="D17" i="10" s="1"/>
  <c r="D85" i="11"/>
  <c r="D104" i="11"/>
  <c r="D37" i="11"/>
  <c r="D81" i="9"/>
  <c r="D11" i="9"/>
  <c r="D62" i="9"/>
  <c r="D14" i="9"/>
  <c r="C14" i="5"/>
  <c r="E14" i="5" s="1"/>
  <c r="E13" i="5"/>
  <c r="C12" i="5"/>
  <c r="E12" i="5" s="1"/>
  <c r="C11" i="5"/>
  <c r="E11" i="5" s="1"/>
  <c r="C10" i="5"/>
  <c r="E10" i="5" s="1"/>
  <c r="E9" i="5"/>
  <c r="C8" i="5"/>
  <c r="E8" i="5" s="1"/>
  <c r="C7" i="5"/>
  <c r="E7" i="5" s="1"/>
  <c r="E6" i="5"/>
  <c r="D34" i="11" l="1"/>
  <c r="D37" i="10"/>
  <c r="D22" i="10"/>
  <c r="D31" i="10" s="1"/>
  <c r="D32" i="10" s="1"/>
  <c r="D34" i="10" s="1"/>
  <c r="D32" i="9"/>
  <c r="D36" i="9" s="1"/>
  <c r="E15" i="5"/>
  <c r="C17" i="5" s="1"/>
  <c r="D12" i="11" l="1"/>
  <c r="D8" i="9"/>
  <c r="D55" i="11"/>
  <c r="D59" i="11" s="1"/>
  <c r="D102" i="11" l="1"/>
  <c r="D88" i="11"/>
  <c r="D91" i="11" s="1"/>
  <c r="D94" i="11" s="1"/>
  <c r="D97" i="11" s="1"/>
  <c r="D40" i="11"/>
  <c r="D43" i="11" s="1"/>
  <c r="D46" i="11" s="1"/>
  <c r="D49" i="11" s="1"/>
  <c r="D79" i="9"/>
  <c r="D84" i="9" s="1"/>
  <c r="D89" i="9"/>
  <c r="D110" i="9" s="1"/>
  <c r="D65" i="9"/>
  <c r="D68" i="9" s="1"/>
  <c r="D71" i="9" s="1"/>
  <c r="D74" i="9" s="1"/>
  <c r="D17" i="9"/>
  <c r="D20" i="9" s="1"/>
  <c r="D23" i="9" s="1"/>
  <c r="D26" i="9" s="1"/>
  <c r="D94" i="9" l="1"/>
  <c r="D104" i="9" s="1"/>
  <c r="D105" i="9" s="1"/>
  <c r="D107" i="9" s="1"/>
  <c r="D107" i="11"/>
  <c r="D112" i="11"/>
  <c r="D133" i="11" l="1"/>
  <c r="D117" i="11"/>
  <c r="D127" i="11" s="1"/>
  <c r="D44" i="9"/>
  <c r="D34" i="9"/>
  <c r="D35" i="9" s="1"/>
  <c r="D128" i="11" l="1"/>
  <c r="D130" i="11" s="1"/>
  <c r="D67" i="11"/>
  <c r="D57" i="11"/>
  <c r="D58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Chartier, Jacob T.</author>
  </authors>
  <commentList>
    <comment ref="D6" authorId="0" shapeId="0" xr:uid="{49C8B2EB-B497-4DA3-9D1C-1FD447628F1A}">
      <text>
        <r>
          <rPr>
            <b/>
            <sz val="9"/>
            <color indexed="81"/>
            <rFont val="Tahoma"/>
            <family val="2"/>
          </rPr>
          <t>Enter where the water is being discharged to.</t>
        </r>
      </text>
    </comment>
    <comment ref="D29" authorId="0" shapeId="0" xr:uid="{45EA70EB-F2CF-4A34-8BE5-DDEFAE9091E1}">
      <text>
        <r>
          <rPr>
            <b/>
            <sz val="9"/>
            <color indexed="81"/>
            <rFont val="Tahoma"/>
            <family val="2"/>
          </rPr>
          <t>Enter height from center of orifice to the maximum pond elevation.</t>
        </r>
      </text>
    </comment>
    <comment ref="D39" authorId="0" shapeId="0" xr:uid="{02DA3815-8497-4DA6-ACAC-309F2DF528C5}">
      <text>
        <r>
          <rPr>
            <b/>
            <sz val="9"/>
            <color indexed="81"/>
            <rFont val="Tahoma"/>
            <family val="2"/>
          </rPr>
          <t>Enter value in increments of 1/8 inch from 0 to maximum circular orifice diameter. (found on previous line)</t>
        </r>
      </text>
    </comment>
    <comment ref="D47" authorId="0" shapeId="0" xr:uid="{2AE11AC7-D8DD-4288-B9AA-2C32537771B2}">
      <text>
        <r>
          <rPr>
            <b/>
            <sz val="9"/>
            <color indexed="81"/>
            <rFont val="Tahoma"/>
            <family val="2"/>
          </rPr>
          <t>This value must be lower or the exact value of the allowable discharge (Qa) that was calculated at the top of the spreadsheet.</t>
        </r>
      </text>
    </comment>
    <comment ref="D51" authorId="0" shapeId="0" xr:uid="{2E6A28B2-80E9-4AF5-9362-F26AD8FF4B99}">
      <text>
        <r>
          <rPr>
            <b/>
            <sz val="9"/>
            <color indexed="81"/>
            <rFont val="Tahoma"/>
            <family val="2"/>
          </rPr>
          <t>Enter diameter of the line.</t>
        </r>
      </text>
    </comment>
    <comment ref="D54" authorId="0" shapeId="0" xr:uid="{2B4EDA64-9768-47F8-8846-5F9D1C3480AB}">
      <text>
        <r>
          <rPr>
            <b/>
            <sz val="9"/>
            <color indexed="81"/>
            <rFont val="Tahoma"/>
            <family val="2"/>
          </rPr>
          <t>Plastic = 0.009
Concrete = 0.012
Corrugated Metal = 0.025</t>
        </r>
      </text>
    </comment>
    <comment ref="D55" authorId="0" shapeId="0" xr:uid="{60EAFBE0-F660-4AED-A98A-A36F361BEDCB}">
      <text>
        <r>
          <rPr>
            <b/>
            <sz val="9"/>
            <color indexed="81"/>
            <rFont val="Tahoma"/>
            <family val="2"/>
          </rPr>
          <t>Enter slope from pond water elevation to the invert of the outlet pipe.</t>
        </r>
      </text>
    </comment>
    <comment ref="D58" authorId="0" shapeId="0" xr:uid="{A814FF48-AB08-4833-A15B-7580AB760E3E}">
      <text>
        <r>
          <rPr>
            <b/>
            <sz val="9"/>
            <color indexed="81"/>
            <rFont val="Tahoma"/>
            <family val="2"/>
          </rPr>
          <t>This value must be lower or the exact value of the allowable discharge (Qa) that was calculated at the top of the spreadsheet.</t>
        </r>
      </text>
    </comment>
    <comment ref="D61" authorId="0" shapeId="0" xr:uid="{F57B7921-B7A2-47E7-A7B1-F88BCA08C1C1}">
      <text>
        <r>
          <rPr>
            <b/>
            <sz val="9"/>
            <color indexed="81"/>
            <rFont val="Tahoma"/>
            <family val="2"/>
          </rPr>
          <t>Value of Actual Restricted Discharge of selection that was made.</t>
        </r>
      </text>
    </comment>
    <comment ref="D99" authorId="0" shapeId="0" xr:uid="{508386D0-2978-42E8-8D31-554E02AE7618}">
      <text>
        <r>
          <rPr>
            <b/>
            <sz val="9"/>
            <color indexed="81"/>
            <rFont val="Tahoma"/>
            <family val="2"/>
          </rPr>
          <t>Enter maximum water elevation in pond.</t>
        </r>
      </text>
    </comment>
    <comment ref="D100" authorId="0" shapeId="0" xr:uid="{AD77C71C-C7E8-4943-AACF-180533176694}">
      <text>
        <r>
          <rPr>
            <b/>
            <sz val="9"/>
            <color indexed="81"/>
            <rFont val="Tahoma"/>
            <family val="2"/>
          </rPr>
          <t>Enter elevation of bottom of pond.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Chartier, Jacob T.</author>
  </authors>
  <commentList>
    <comment ref="D9" authorId="0" shapeId="0" xr:uid="{EE4F745E-6ADA-4DD0-A9AD-AFAE38D7B14A}">
      <text>
        <r>
          <rPr>
            <b/>
            <sz val="9"/>
            <color indexed="81"/>
            <rFont val="Tahoma"/>
            <family val="2"/>
          </rPr>
          <t>Enter where the water is being discharged to.</t>
        </r>
      </text>
    </comment>
    <comment ref="D11" authorId="0" shapeId="0" xr:uid="{6A02D64B-C56D-43F3-82B1-CB7F0ABE58BD}">
      <text>
        <r>
          <rPr>
            <b/>
            <sz val="9"/>
            <color indexed="81"/>
            <rFont val="Tahoma"/>
            <family val="2"/>
          </rPr>
          <t>Enter value given by county engineer or leave as 0%</t>
        </r>
      </text>
    </comment>
    <comment ref="D13" authorId="0" shapeId="0" xr:uid="{DBF46F77-BAA5-4636-9E99-AEA574813951}">
      <text>
        <r>
          <rPr>
            <b/>
            <sz val="9"/>
            <color indexed="81"/>
            <rFont val="Tahoma"/>
            <family val="2"/>
          </rPr>
          <t>Enter the length in feet from the highest elevation to the design outlet point.</t>
        </r>
      </text>
    </comment>
    <comment ref="D15" authorId="0" shapeId="0" xr:uid="{5C6A4A11-0654-4D3F-AABE-10886D5BC95C}">
      <text>
        <r>
          <rPr>
            <b/>
            <sz val="9"/>
            <color indexed="81"/>
            <rFont val="Tahoma"/>
            <family val="2"/>
          </rPr>
          <t>Assumes velocity for overland drainage is 2.0 fps, and a lag time of 15 minutes.</t>
        </r>
      </text>
    </comment>
    <comment ref="D52" authorId="0" shapeId="0" xr:uid="{794A81B2-D525-4C4E-959F-7B3A91D692DE}">
      <text>
        <r>
          <rPr>
            <b/>
            <sz val="9"/>
            <color indexed="81"/>
            <rFont val="Tahoma"/>
            <family val="2"/>
          </rPr>
          <t>Enter height from center of orifice to the maximum pond elevation.</t>
        </r>
      </text>
    </comment>
    <comment ref="D62" authorId="0" shapeId="0" xr:uid="{4131A340-8B70-4678-870C-ED8C2A72162E}">
      <text>
        <r>
          <rPr>
            <b/>
            <sz val="9"/>
            <color indexed="81"/>
            <rFont val="Tahoma"/>
            <family val="2"/>
          </rPr>
          <t>Enter value in increments of 1/8 inch from 0 to maximum circular orifice diameter. (found on previous line)</t>
        </r>
      </text>
    </comment>
    <comment ref="D70" authorId="0" shapeId="0" xr:uid="{C65E60F6-592D-47BB-877B-3C8FC41B2237}">
      <text>
        <r>
          <rPr>
            <b/>
            <sz val="9"/>
            <color indexed="81"/>
            <rFont val="Tahoma"/>
            <family val="2"/>
          </rPr>
          <t>This value must be lower or the exact value of the allowable discharge (Qa) that was calculated at the top of the spreadsheet.</t>
        </r>
      </text>
    </comment>
    <comment ref="D74" authorId="0" shapeId="0" xr:uid="{D9FE3ABE-9CDC-4B30-AE5C-A11663BB5110}">
      <text>
        <r>
          <rPr>
            <b/>
            <sz val="9"/>
            <color indexed="81"/>
            <rFont val="Tahoma"/>
            <family val="2"/>
          </rPr>
          <t>Enter diameter of the line.</t>
        </r>
      </text>
    </comment>
    <comment ref="D77" authorId="0" shapeId="0" xr:uid="{B9A29520-E24F-4B6F-A35E-C86BB155C291}">
      <text>
        <r>
          <rPr>
            <b/>
            <sz val="9"/>
            <color indexed="81"/>
            <rFont val="Tahoma"/>
            <family val="2"/>
          </rPr>
          <t>Plastic = 0.009
Concrete = 0.012
Corrugated Metal = 0.025</t>
        </r>
      </text>
    </comment>
    <comment ref="D78" authorId="0" shapeId="0" xr:uid="{C9C0B26F-B5C9-481E-B17B-8DD0A9B5D5D8}">
      <text>
        <r>
          <rPr>
            <b/>
            <sz val="9"/>
            <color indexed="81"/>
            <rFont val="Tahoma"/>
            <family val="2"/>
          </rPr>
          <t>Enter slope from pond water elevation to the invert of the outlet pipe.</t>
        </r>
      </text>
    </comment>
    <comment ref="D81" authorId="0" shapeId="0" xr:uid="{05D1B4C5-4654-4824-A57F-61004ACA51E5}">
      <text>
        <r>
          <rPr>
            <b/>
            <sz val="9"/>
            <color indexed="81"/>
            <rFont val="Tahoma"/>
            <family val="2"/>
          </rPr>
          <t>This value must be lower or the exact value of the allowable discharge (Qa) that was calculated at the top of the spreadsheet.</t>
        </r>
      </text>
    </comment>
    <comment ref="D84" authorId="0" shapeId="0" xr:uid="{F9E5F78F-F8E6-4247-B546-DFE915CA17F0}">
      <text>
        <r>
          <rPr>
            <b/>
            <sz val="9"/>
            <color indexed="81"/>
            <rFont val="Tahoma"/>
            <family val="2"/>
          </rPr>
          <t>Value of Actual Restricted Discharge of selection that was made.</t>
        </r>
      </text>
    </comment>
    <comment ref="D122" authorId="0" shapeId="0" xr:uid="{0EDF90F1-0991-4E60-A3F6-706B03A64084}">
      <text>
        <r>
          <rPr>
            <b/>
            <sz val="9"/>
            <color indexed="81"/>
            <rFont val="Tahoma"/>
            <family val="2"/>
          </rPr>
          <t>Enter maximum water elevation in pond.</t>
        </r>
      </text>
    </comment>
    <comment ref="D123" authorId="0" shapeId="0" xr:uid="{632FB550-E3F0-40B3-9734-52999A4D8030}">
      <text>
        <r>
          <rPr>
            <b/>
            <sz val="9"/>
            <color indexed="81"/>
            <rFont val="Tahoma"/>
            <family val="2"/>
          </rPr>
          <t>Enter elevation of bottom of pond.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Chartier, Jacob T.</author>
  </authors>
  <commentList>
    <comment ref="D26" authorId="0" shapeId="0" xr:uid="{6DD528DE-E2EF-40E8-833C-A337360BE846}">
      <text>
        <r>
          <rPr>
            <b/>
            <sz val="9"/>
            <color indexed="81"/>
            <rFont val="Tahoma"/>
            <family val="2"/>
          </rPr>
          <t>Enter maximum water elevation in pond when banks are full.</t>
        </r>
      </text>
    </comment>
  </commentList>
</comments>
</file>

<file path=xl/sharedStrings.xml><?xml version="1.0" encoding="utf-8"?>
<sst xmlns="http://schemas.openxmlformats.org/spreadsheetml/2006/main" count="480" uniqueCount="204">
  <si>
    <t>ENGINEER:</t>
  </si>
  <si>
    <t>DATE:</t>
  </si>
  <si>
    <t>PROJECT:</t>
  </si>
  <si>
    <t>(Based on Actual Restricted Discharge)</t>
  </si>
  <si>
    <t>Vs x A x Cw</t>
  </si>
  <si>
    <t>Total Volume of Storage Required for the Site (Vt) =</t>
  </si>
  <si>
    <t>Storage Time (T) =</t>
  </si>
  <si>
    <t>Qr/ A*Cw</t>
  </si>
  <si>
    <t>Actual Restricted Discharge (Qr) =</t>
  </si>
  <si>
    <r>
      <t>((pi/4)*D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)(1.486/n)(D/4)</t>
    </r>
    <r>
      <rPr>
        <vertAlign val="superscript"/>
        <sz val="10"/>
        <rFont val="Times New Roman"/>
        <family val="1"/>
      </rPr>
      <t>2/3</t>
    </r>
    <r>
      <rPr>
        <sz val="10"/>
        <rFont val="Times New Roman"/>
        <family val="1"/>
      </rPr>
      <t>(s</t>
    </r>
    <r>
      <rPr>
        <vertAlign val="superscript"/>
        <sz val="10"/>
        <rFont val="Times New Roman"/>
        <family val="1"/>
      </rPr>
      <t>1/2</t>
    </r>
    <r>
      <rPr>
        <sz val="10"/>
        <rFont val="Times New Roman"/>
        <family val="1"/>
      </rPr>
      <t>)</t>
    </r>
  </si>
  <si>
    <t>%</t>
  </si>
  <si>
    <t>Manning's roughness coefficient (n) =</t>
  </si>
  <si>
    <t>Diameter of Line (D) =</t>
  </si>
  <si>
    <t>(Center of Orifice to Maximum Ponding Elevation)</t>
  </si>
  <si>
    <t>Head Differential (dH) =</t>
  </si>
  <si>
    <t xml:space="preserve">Area of Orifice = </t>
  </si>
  <si>
    <t>Area of orifice (a) =</t>
  </si>
  <si>
    <r>
      <t>Qa/[0.62(64.4(dH))</t>
    </r>
    <r>
      <rPr>
        <vertAlign val="superscript"/>
        <sz val="10"/>
        <rFont val="Times New Roman"/>
        <family val="1"/>
      </rPr>
      <t>1/2</t>
    </r>
    <r>
      <rPr>
        <sz val="10"/>
        <rFont val="Times New Roman"/>
        <family val="1"/>
      </rPr>
      <t>]</t>
    </r>
  </si>
  <si>
    <t>[(10500xT)/(T+25)]-(40xQoxT)</t>
  </si>
  <si>
    <r>
      <t>(6562.5/Qo)</t>
    </r>
    <r>
      <rPr>
        <vertAlign val="superscript"/>
        <sz val="10"/>
        <rFont val="Times New Roman"/>
        <family val="1"/>
      </rPr>
      <t>1/2</t>
    </r>
    <r>
      <rPr>
        <sz val="10"/>
        <rFont val="Times New Roman"/>
        <family val="1"/>
      </rPr>
      <t>-25</t>
    </r>
  </si>
  <si>
    <t>DETERMINE REQUIRED STORAGE:</t>
  </si>
  <si>
    <t>Impervious Factor (IF) =</t>
  </si>
  <si>
    <t>DETERMINE ALLOWABLE DISCHARGE:</t>
  </si>
  <si>
    <t>Totals =</t>
  </si>
  <si>
    <t>Area (acres)</t>
  </si>
  <si>
    <t>C</t>
  </si>
  <si>
    <t>Date:</t>
  </si>
  <si>
    <t>Location:</t>
  </si>
  <si>
    <t>Project:</t>
  </si>
  <si>
    <t>acres</t>
  </si>
  <si>
    <t>sf</t>
  </si>
  <si>
    <t xml:space="preserve">Grass </t>
  </si>
  <si>
    <t xml:space="preserve">Sidewalk </t>
  </si>
  <si>
    <t xml:space="preserve">Parking Lot </t>
  </si>
  <si>
    <t xml:space="preserve">Building Envelope </t>
  </si>
  <si>
    <t xml:space="preserve">Total Site </t>
  </si>
  <si>
    <t>REFERENCES:</t>
  </si>
  <si>
    <t>5)  Design Storm:</t>
  </si>
  <si>
    <t>4)  Zoned:</t>
  </si>
  <si>
    <t>3)  Parcel #:</t>
  </si>
  <si>
    <t>Saginaw County</t>
  </si>
  <si>
    <t>2)  County:</t>
  </si>
  <si>
    <t>1)  Township:</t>
  </si>
  <si>
    <t>GIVEN:</t>
  </si>
  <si>
    <t>PURPOSE:</t>
  </si>
  <si>
    <t xml:space="preserve">(if applicable) </t>
  </si>
  <si>
    <t>DISTRICT:</t>
  </si>
  <si>
    <t xml:space="preserve">DRAINAGE </t>
  </si>
  <si>
    <t>LOCATION:</t>
  </si>
  <si>
    <t>RUNOFF COEFFICIENT- Proposed Conditions</t>
  </si>
  <si>
    <t>Description of Area</t>
  </si>
  <si>
    <t>C x Area</t>
  </si>
  <si>
    <t>Woodland Area</t>
  </si>
  <si>
    <t>Impervious Area (pavement, roofs, buildings)</t>
  </si>
  <si>
    <t>Cultivated Area</t>
  </si>
  <si>
    <t>Water</t>
  </si>
  <si>
    <t>Park/Playground/Cemetery Area</t>
  </si>
  <si>
    <t>Lawn Area</t>
  </si>
  <si>
    <t>Pasture Area</t>
  </si>
  <si>
    <t>Albee Township</t>
  </si>
  <si>
    <t>Birch Run Township</t>
  </si>
  <si>
    <t>Blumfield Township</t>
  </si>
  <si>
    <t>Brady Township</t>
  </si>
  <si>
    <t>Brant Township</t>
  </si>
  <si>
    <t>Bridgeport Charter Township</t>
  </si>
  <si>
    <t>Buena Vista Charter Township</t>
  </si>
  <si>
    <t>Carrollton Township</t>
  </si>
  <si>
    <t>Chapin Township</t>
  </si>
  <si>
    <t>Chesaning Township</t>
  </si>
  <si>
    <t>Frankenmuth Township</t>
  </si>
  <si>
    <t>Fremont Township</t>
  </si>
  <si>
    <t>James Township</t>
  </si>
  <si>
    <t>Jonesfield Township</t>
  </si>
  <si>
    <t>Kochville Township</t>
  </si>
  <si>
    <t>Lakefield Township</t>
  </si>
  <si>
    <t>Maple Grove Township</t>
  </si>
  <si>
    <t>Marion Township</t>
  </si>
  <si>
    <t>Richland Township</t>
  </si>
  <si>
    <t>Swan Creek Township</t>
  </si>
  <si>
    <t>Taymouth Township</t>
  </si>
  <si>
    <t>Thomas Township</t>
  </si>
  <si>
    <t>Tittabawassee Township</t>
  </si>
  <si>
    <t>Zilwaukee Township</t>
  </si>
  <si>
    <t>Receiving Drain/ Storm Sewer/ Etc.:</t>
  </si>
  <si>
    <t xml:space="preserve">Weighted runoff Coeff (Cw) = </t>
  </si>
  <si>
    <t>Length of runoff (L) =</t>
  </si>
  <si>
    <t>Maximum Outflow per Contributing Acre (Qo)  =</t>
  </si>
  <si>
    <t>Qa/ A*Cw</t>
  </si>
  <si>
    <t>Max. Vol.of Storage per Acre (Vs) =</t>
  </si>
  <si>
    <t>3630 x A x Cw</t>
  </si>
  <si>
    <t>Goal is a holding time of 18 (minimum) to 24 hrs.</t>
  </si>
  <si>
    <t>Use X hrs  =</t>
  </si>
  <si>
    <r>
      <t>H</t>
    </r>
    <r>
      <rPr>
        <b/>
        <vertAlign val="subscript"/>
        <sz val="10"/>
        <rFont val="Times New Roman"/>
        <family val="1"/>
      </rPr>
      <t>ave</t>
    </r>
    <r>
      <rPr>
        <b/>
        <sz val="10"/>
        <rFont val="Times New Roman"/>
        <family val="1"/>
      </rPr>
      <t xml:space="preserve"> = </t>
    </r>
  </si>
  <si>
    <t>Holding Time =</t>
  </si>
  <si>
    <t>Note: Detention Time = Holding Time</t>
  </si>
  <si>
    <t>DETERMINE RESTRICTOR AREA BASED ON ORIFICE EQUATION:</t>
  </si>
  <si>
    <t xml:space="preserve">Number of Holes Needed= </t>
  </si>
  <si>
    <r>
      <t>A</t>
    </r>
    <r>
      <rPr>
        <vertAlign val="subscript"/>
        <sz val="10"/>
        <rFont val="Times New Roman"/>
        <family val="1"/>
      </rPr>
      <t>ff</t>
    </r>
    <r>
      <rPr>
        <sz val="10"/>
        <rFont val="Times New Roman"/>
        <family val="1"/>
      </rPr>
      <t>/Area of orifice</t>
    </r>
  </si>
  <si>
    <t>Holes</t>
  </si>
  <si>
    <t xml:space="preserve">DETERMINE ACTUAL RESTRICTED DISCHARGE (ORIFICE EQUATION): </t>
  </si>
  <si>
    <t>DETERMINE ACTUAL RESTRICTED DISCHARGE (METERING LINE):</t>
  </si>
  <si>
    <t>DETERMINE REQUIRED STORAGE BASED ON ACTUAL RESTRICTED DISCHARGE:</t>
  </si>
  <si>
    <t>Maximum Outflow per Acre (Qo)  =</t>
  </si>
  <si>
    <t xml:space="preserve">Runoff Coefficient </t>
  </si>
  <si>
    <t>Cw = Total CxArea/Total Area =</t>
  </si>
  <si>
    <t>Max. Vol. of Storage per Acre (Vs) =</t>
  </si>
  <si>
    <t>Maximum Circular Orifice Diameter =</t>
  </si>
  <si>
    <t>cfs</t>
  </si>
  <si>
    <t>cfs/acre</t>
  </si>
  <si>
    <t>minutes</t>
  </si>
  <si>
    <t>feet</t>
  </si>
  <si>
    <t>square feet</t>
  </si>
  <si>
    <t>inches</t>
  </si>
  <si>
    <t xml:space="preserve">Unit Allowable Discharge (qa) = </t>
  </si>
  <si>
    <r>
      <t>Allowable Discharge (Q</t>
    </r>
    <r>
      <rPr>
        <vertAlign val="subscript"/>
        <sz val="10"/>
        <rFont val="Times New Roman"/>
        <family val="1"/>
      </rPr>
      <t>a</t>
    </r>
    <r>
      <rPr>
        <sz val="10"/>
        <rFont val="Times New Roman"/>
        <family val="1"/>
      </rPr>
      <t>) =</t>
    </r>
  </si>
  <si>
    <t>DETERMINE EMERGENCY OVERFLOW CAPACITY:</t>
  </si>
  <si>
    <t xml:space="preserve">Actual Restr. Disch., Orifice or Metering Line (Qr) = </t>
  </si>
  <si>
    <t>inches/ hr</t>
  </si>
  <si>
    <r>
      <t>Intensity of Rainfall (I</t>
    </r>
    <r>
      <rPr>
        <vertAlign val="subscript"/>
        <sz val="10"/>
        <rFont val="Times New Roman"/>
        <family val="1"/>
      </rPr>
      <t>10</t>
    </r>
    <r>
      <rPr>
        <sz val="10"/>
        <rFont val="Times New Roman"/>
        <family val="1"/>
      </rPr>
      <t xml:space="preserve">) = </t>
    </r>
  </si>
  <si>
    <r>
      <t>Contributing Drainage Area (A</t>
    </r>
    <r>
      <rPr>
        <vertAlign val="subscript"/>
        <sz val="10"/>
        <rFont val="Times New Roman"/>
        <family val="1"/>
      </rPr>
      <t xml:space="preserve">site </t>
    </r>
    <r>
      <rPr>
        <sz val="10"/>
        <rFont val="Times New Roman"/>
        <family val="1"/>
      </rPr>
      <t>or A) =</t>
    </r>
  </si>
  <si>
    <t xml:space="preserve">Emergency Overflow Disch. (Q) = </t>
  </si>
  <si>
    <r>
      <t>Cw * I</t>
    </r>
    <r>
      <rPr>
        <vertAlign val="subscript"/>
        <sz val="10"/>
        <rFont val="Times New Roman"/>
        <family val="1"/>
      </rPr>
      <t>10</t>
    </r>
    <r>
      <rPr>
        <sz val="10"/>
        <rFont val="Times New Roman"/>
        <family val="1"/>
      </rPr>
      <t xml:space="preserve"> * A</t>
    </r>
  </si>
  <si>
    <r>
      <t>0.62*A*(2*g*dH)</t>
    </r>
    <r>
      <rPr>
        <vertAlign val="superscript"/>
        <sz val="10"/>
        <rFont val="Times New Roman"/>
        <family val="1"/>
      </rPr>
      <t>1/2</t>
    </r>
  </si>
  <si>
    <t>cubic feet</t>
  </si>
  <si>
    <t>hrs</t>
  </si>
  <si>
    <t>cubic feet/ acre</t>
  </si>
  <si>
    <t>CHANNEL PROTECTION CRITERIA:</t>
  </si>
  <si>
    <t>(Discuss with SCPWC Engineer if site needs this requirement)</t>
  </si>
  <si>
    <t>RUNOFF COEFFICIENT- Existing/ Current Conditions</t>
  </si>
  <si>
    <t>DETERMINATION OF WQ RELEASE RATE:</t>
  </si>
  <si>
    <t>DETERMINE AREA OF WQ ORIFICE:</t>
  </si>
  <si>
    <r>
      <t>WQ Head Differential (h</t>
    </r>
    <r>
      <rPr>
        <vertAlign val="subscript"/>
        <sz val="10"/>
        <rFont val="Times New Roman"/>
        <family val="1"/>
      </rPr>
      <t>ave</t>
    </r>
    <r>
      <rPr>
        <sz val="10"/>
        <rFont val="Times New Roman"/>
        <family val="1"/>
      </rPr>
      <t xml:space="preserve">) = </t>
    </r>
  </si>
  <si>
    <t>0.667*(elevation WQ - elevation WQ orifice invert)</t>
  </si>
  <si>
    <t>Elevation WQ =</t>
  </si>
  <si>
    <t>Elevation WQ orifice invert =</t>
  </si>
  <si>
    <t>Diameter of WQ Orifice =</t>
  </si>
  <si>
    <r>
      <t>V</t>
    </r>
    <r>
      <rPr>
        <vertAlign val="subscript"/>
        <sz val="10"/>
        <rFont val="Times New Roman"/>
        <family val="1"/>
      </rPr>
      <t xml:space="preserve">WQ </t>
    </r>
    <r>
      <rPr>
        <sz val="10"/>
        <rFont val="Times New Roman"/>
        <family val="1"/>
      </rPr>
      <t>/ (X*3600)</t>
    </r>
  </si>
  <si>
    <t>Actual Diameter of WQ Orifice =</t>
  </si>
  <si>
    <r>
      <t>WQ Volume (V</t>
    </r>
    <r>
      <rPr>
        <vertAlign val="subscript"/>
        <sz val="10"/>
        <rFont val="Times New Roman"/>
        <family val="1"/>
      </rPr>
      <t>WQ</t>
    </r>
    <r>
      <rPr>
        <sz val="10"/>
        <rFont val="Times New Roman"/>
        <family val="1"/>
      </rPr>
      <t>)=</t>
    </r>
  </si>
  <si>
    <t>Slope of Hydraulic Grade Line (s) =</t>
  </si>
  <si>
    <t>Elevation Orifice Invert =</t>
  </si>
  <si>
    <r>
      <t>Weighted Runoff Coeff Existing Cond. (C</t>
    </r>
    <r>
      <rPr>
        <vertAlign val="subscript"/>
        <sz val="10"/>
        <rFont val="Times New Roman"/>
        <family val="1"/>
      </rPr>
      <t>w Ex</t>
    </r>
    <r>
      <rPr>
        <sz val="10"/>
        <rFont val="Times New Roman"/>
        <family val="1"/>
      </rPr>
      <t xml:space="preserve">) = </t>
    </r>
  </si>
  <si>
    <r>
      <t>CP Volume (V</t>
    </r>
    <r>
      <rPr>
        <vertAlign val="subscript"/>
        <sz val="10"/>
        <rFont val="Times New Roman"/>
        <family val="1"/>
      </rPr>
      <t>cp</t>
    </r>
    <r>
      <rPr>
        <sz val="10"/>
        <rFont val="Times New Roman"/>
        <family val="1"/>
      </rPr>
      <t>) =</t>
    </r>
  </si>
  <si>
    <t xml:space="preserve">ft           </t>
  </si>
  <si>
    <r>
      <t>H</t>
    </r>
    <r>
      <rPr>
        <b/>
        <vertAlign val="subscript"/>
        <sz val="10"/>
        <rFont val="Times New Roman"/>
        <family val="1"/>
      </rPr>
      <t>ave,cp</t>
    </r>
    <r>
      <rPr>
        <b/>
        <sz val="10"/>
        <rFont val="Times New Roman"/>
        <family val="1"/>
      </rPr>
      <t xml:space="preserve"> = </t>
    </r>
  </si>
  <si>
    <t>DETERMINE AREA OF CP ORIFICE:</t>
  </si>
  <si>
    <t>DETERMINATION OF CP RELEASE RATE:</t>
  </si>
  <si>
    <t>Actual Diameter of Orifice =</t>
  </si>
  <si>
    <t>Volume of Storage Provided =</t>
  </si>
  <si>
    <r>
      <t>Q</t>
    </r>
    <r>
      <rPr>
        <vertAlign val="subscript"/>
        <sz val="10"/>
        <rFont val="Times New Roman"/>
        <family val="1"/>
      </rPr>
      <t>ff</t>
    </r>
    <r>
      <rPr>
        <sz val="10"/>
        <rFont val="Times New Roman"/>
        <family val="1"/>
      </rPr>
      <t xml:space="preserve"> = </t>
    </r>
  </si>
  <si>
    <r>
      <t>Q</t>
    </r>
    <r>
      <rPr>
        <vertAlign val="subscript"/>
        <sz val="10"/>
        <rFont val="Times New Roman"/>
        <family val="1"/>
      </rPr>
      <t>ff</t>
    </r>
    <r>
      <rPr>
        <sz val="10"/>
        <rFont val="Times New Roman"/>
        <family val="1"/>
      </rPr>
      <t xml:space="preserve"> / ((0.62)*(2g h</t>
    </r>
    <r>
      <rPr>
        <vertAlign val="subscript"/>
        <sz val="10"/>
        <rFont val="Times New Roman"/>
        <family val="1"/>
      </rPr>
      <t xml:space="preserve">ave </t>
    </r>
    <r>
      <rPr>
        <sz val="10"/>
        <rFont val="Times New Roman"/>
        <family val="1"/>
      </rPr>
      <t>)</t>
    </r>
    <r>
      <rPr>
        <vertAlign val="superscript"/>
        <sz val="10"/>
        <rFont val="Times New Roman"/>
        <family val="1"/>
      </rPr>
      <t>0.5</t>
    </r>
    <r>
      <rPr>
        <sz val="10"/>
        <rFont val="Times New Roman"/>
        <family val="1"/>
      </rPr>
      <t>)</t>
    </r>
  </si>
  <si>
    <r>
      <t>Actual Q</t>
    </r>
    <r>
      <rPr>
        <vertAlign val="subscript"/>
        <sz val="10"/>
        <rFont val="Times New Roman"/>
        <family val="1"/>
      </rPr>
      <t>ff</t>
    </r>
    <r>
      <rPr>
        <sz val="10"/>
        <rFont val="Times New Roman"/>
        <family val="1"/>
      </rPr>
      <t xml:space="preserve"> =</t>
    </r>
    <r>
      <rPr>
        <vertAlign val="subscript"/>
        <sz val="10"/>
        <rFont val="Times New Roman"/>
        <family val="1"/>
      </rPr>
      <t xml:space="preserve"> </t>
    </r>
  </si>
  <si>
    <r>
      <t>hrs holding time    Q</t>
    </r>
    <r>
      <rPr>
        <vertAlign val="subscript"/>
        <sz val="10"/>
        <rFont val="Times New Roman"/>
        <family val="1"/>
      </rPr>
      <t>ff</t>
    </r>
    <r>
      <rPr>
        <sz val="10"/>
        <rFont val="Times New Roman"/>
        <family val="1"/>
      </rPr>
      <t xml:space="preserve"> = </t>
    </r>
  </si>
  <si>
    <t>Time of Concentration (Tc) =</t>
  </si>
  <si>
    <t>L/(2*60)+15</t>
  </si>
  <si>
    <t>Allowable Discharge Pervious Area (Ap) =</t>
  </si>
  <si>
    <t>Allowable Discharge Impervious Area (Ai) =</t>
  </si>
  <si>
    <t>Intensity (I) =</t>
  </si>
  <si>
    <t>175/(25+Tc)</t>
  </si>
  <si>
    <t>Tc&gt;30 min.</t>
  </si>
  <si>
    <t>136/(20+Tc)</t>
  </si>
  <si>
    <t>Tc&lt;=30 min.</t>
  </si>
  <si>
    <t>inches/ hour</t>
  </si>
  <si>
    <t>Pervious Area Runoff Coefficient (Cp) =</t>
  </si>
  <si>
    <t>Tc/(80+4Tc)</t>
  </si>
  <si>
    <t>Impervious Area Runoff Coefficient (Ci) =</t>
  </si>
  <si>
    <t>Tc/(8+Tc)</t>
  </si>
  <si>
    <t>Allowable Discharge (Qa) =</t>
  </si>
  <si>
    <t>(Ci)(I)(Ai)+(Cp)(I)(Ap)</t>
  </si>
  <si>
    <t>NOTE: ONLY USE THIS SHEET IF YOU HAVE SPECIFICALLY BEEN GIVEN AN IMPERVIOUS FACTOR, OTHERWISE USE GENERAL STORMWATER CALCULATIONS SHEET</t>
  </si>
  <si>
    <r>
      <t>CP Head Differential (h</t>
    </r>
    <r>
      <rPr>
        <vertAlign val="subscript"/>
        <sz val="10"/>
        <rFont val="Times New Roman"/>
        <family val="1"/>
      </rPr>
      <t>ave, cp</t>
    </r>
    <r>
      <rPr>
        <sz val="10"/>
        <rFont val="Times New Roman"/>
        <family val="1"/>
      </rPr>
      <t>) =</t>
    </r>
  </si>
  <si>
    <t>0.667*(elevation CP - elevation orifice invert)</t>
  </si>
  <si>
    <t>DETERMINE REQUIRED WATER QUALITY VOLUME:</t>
  </si>
  <si>
    <r>
      <t>7768*A*C</t>
    </r>
    <r>
      <rPr>
        <vertAlign val="subscript"/>
        <sz val="10"/>
        <rFont val="Times New Roman"/>
        <family val="1"/>
      </rPr>
      <t>w Ex</t>
    </r>
  </si>
  <si>
    <t>hours</t>
  </si>
  <si>
    <r>
      <t>Hold Time (T</t>
    </r>
    <r>
      <rPr>
        <vertAlign val="subscript"/>
        <sz val="10"/>
        <rFont val="Times New Roman"/>
        <family val="1"/>
      </rPr>
      <t>cp</t>
    </r>
    <r>
      <rPr>
        <sz val="10"/>
        <rFont val="Times New Roman"/>
        <family val="1"/>
      </rPr>
      <t>) =</t>
    </r>
  </si>
  <si>
    <r>
      <t>V</t>
    </r>
    <r>
      <rPr>
        <vertAlign val="subscript"/>
        <sz val="10"/>
        <rFont val="Times New Roman"/>
        <family val="1"/>
      </rPr>
      <t xml:space="preserve">cp </t>
    </r>
    <r>
      <rPr>
        <sz val="10"/>
        <rFont val="Times New Roman"/>
        <family val="1"/>
      </rPr>
      <t>/ (T</t>
    </r>
    <r>
      <rPr>
        <vertAlign val="subscript"/>
        <sz val="10"/>
        <rFont val="Times New Roman"/>
        <family val="1"/>
      </rPr>
      <t>cp</t>
    </r>
    <r>
      <rPr>
        <sz val="10"/>
        <rFont val="Times New Roman"/>
        <family val="1"/>
      </rPr>
      <t>*3600)</t>
    </r>
  </si>
  <si>
    <r>
      <t>Water Quality Release Rate (Q</t>
    </r>
    <r>
      <rPr>
        <vertAlign val="subscript"/>
        <sz val="10"/>
        <rFont val="Times New Roman"/>
        <family val="1"/>
      </rPr>
      <t>ff</t>
    </r>
    <r>
      <rPr>
        <sz val="10"/>
        <rFont val="Times New Roman"/>
        <family val="1"/>
      </rPr>
      <t xml:space="preserve">) = </t>
    </r>
  </si>
  <si>
    <r>
      <t>hrs holding time    Q</t>
    </r>
    <r>
      <rPr>
        <vertAlign val="subscript"/>
        <sz val="10"/>
        <rFont val="Times New Roman"/>
        <family val="1"/>
      </rPr>
      <t>ff</t>
    </r>
    <r>
      <rPr>
        <sz val="10"/>
        <rFont val="Times New Roman"/>
        <family val="1"/>
      </rPr>
      <t xml:space="preserve">  = </t>
    </r>
  </si>
  <si>
    <r>
      <t>Area of Channel Protection Orifice (A</t>
    </r>
    <r>
      <rPr>
        <vertAlign val="subscript"/>
        <sz val="10"/>
        <rFont val="Times New Roman"/>
        <family val="1"/>
      </rPr>
      <t>cp</t>
    </r>
    <r>
      <rPr>
        <sz val="10"/>
        <rFont val="Times New Roman"/>
        <family val="1"/>
      </rPr>
      <t xml:space="preserve">) = </t>
    </r>
  </si>
  <si>
    <t>Diameter of CP Orifice =</t>
  </si>
  <si>
    <t>Actual Diameter of CP Orifice =</t>
  </si>
  <si>
    <r>
      <t>Q</t>
    </r>
    <r>
      <rPr>
        <vertAlign val="subscript"/>
        <sz val="10"/>
        <rFont val="Times New Roman"/>
        <family val="1"/>
      </rPr>
      <t>cp</t>
    </r>
    <r>
      <rPr>
        <sz val="10"/>
        <rFont val="Times New Roman"/>
        <family val="1"/>
      </rPr>
      <t xml:space="preserve"> / ((0.62)*(2g h</t>
    </r>
    <r>
      <rPr>
        <vertAlign val="subscript"/>
        <sz val="10"/>
        <rFont val="Times New Roman"/>
        <family val="1"/>
      </rPr>
      <t xml:space="preserve">ave,cp </t>
    </r>
    <r>
      <rPr>
        <sz val="10"/>
        <rFont val="Times New Roman"/>
        <family val="1"/>
      </rPr>
      <t>)</t>
    </r>
    <r>
      <rPr>
        <vertAlign val="superscript"/>
        <sz val="10"/>
        <rFont val="Times New Roman"/>
        <family val="1"/>
      </rPr>
      <t>0.5</t>
    </r>
    <r>
      <rPr>
        <sz val="10"/>
        <rFont val="Times New Roman"/>
        <family val="1"/>
      </rPr>
      <t>)</t>
    </r>
  </si>
  <si>
    <r>
      <t xml:space="preserve">  Channel Protection Release Rate (Q</t>
    </r>
    <r>
      <rPr>
        <vertAlign val="subscript"/>
        <sz val="10"/>
        <rFont val="Times New Roman"/>
        <family val="1"/>
      </rPr>
      <t>cp</t>
    </r>
    <r>
      <rPr>
        <sz val="10"/>
        <rFont val="Times New Roman"/>
        <family val="1"/>
      </rPr>
      <t xml:space="preserve">) = </t>
    </r>
  </si>
  <si>
    <r>
      <t>Actual Q</t>
    </r>
    <r>
      <rPr>
        <vertAlign val="subscript"/>
        <sz val="10"/>
        <rFont val="Times New Roman"/>
        <family val="1"/>
      </rPr>
      <t>cp</t>
    </r>
    <r>
      <rPr>
        <sz val="10"/>
        <rFont val="Times New Roman"/>
        <family val="1"/>
      </rPr>
      <t xml:space="preserve"> =</t>
    </r>
    <r>
      <rPr>
        <vertAlign val="subscript"/>
        <sz val="10"/>
        <rFont val="Times New Roman"/>
        <family val="1"/>
      </rPr>
      <t xml:space="preserve"> </t>
    </r>
  </si>
  <si>
    <t>Designed Holding Time =</t>
  </si>
  <si>
    <t>Provide a description of site conditions or drainage strategies for reviewer</t>
  </si>
  <si>
    <t>SITE DRAINAGE SUMMARY:</t>
  </si>
  <si>
    <t>SITE STATISTICS:</t>
  </si>
  <si>
    <t>Elevation Channel Protection =</t>
  </si>
  <si>
    <r>
      <t>Area of Water Quality Orifice (A</t>
    </r>
    <r>
      <rPr>
        <vertAlign val="subscript"/>
        <sz val="10"/>
        <rFont val="Times New Roman"/>
        <family val="1"/>
      </rPr>
      <t>WQ</t>
    </r>
    <r>
      <rPr>
        <sz val="10"/>
        <rFont val="Times New Roman"/>
        <family val="1"/>
      </rPr>
      <t xml:space="preserve">) = </t>
    </r>
  </si>
  <si>
    <t>Note that the WQ volume is incorporated into the CP calculations and additional storage/ orifice for WQ is not required</t>
  </si>
  <si>
    <t>Complete if using a metering line to restrict flow</t>
  </si>
  <si>
    <t>(or address)</t>
  </si>
  <si>
    <t xml:space="preserve">Existing Conditions </t>
  </si>
  <si>
    <t xml:space="preserve">Proposed Conditions </t>
  </si>
  <si>
    <t>ac</t>
  </si>
  <si>
    <t>(Type of development or describe project)</t>
  </si>
  <si>
    <t>PROJECT NAME:</t>
  </si>
  <si>
    <t>PROJECT #:</t>
  </si>
  <si>
    <t>Saginaw County Public Works Commissioner Stormwater Management  Design Requirements 2018</t>
  </si>
  <si>
    <t xml:space="preserve">For Channel Protection Criteria </t>
  </si>
  <si>
    <r>
      <t>CHANNEL PROTECTION CRITERIA:</t>
    </r>
    <r>
      <rPr>
        <b/>
        <sz val="10"/>
        <color rgb="FFFF0000"/>
        <rFont val="Times New Roman"/>
        <family val="1"/>
      </rPr>
      <t xml:space="preserve"> Contact the SCPWC Engineer if site needs this requirement or see Section 9. Goals for Water Quality Requirements (pg.9) and Section V Design Calculations (pgs. 29-30) for additional information of the Saginaw County Public Works Commissioner Stormwater Management  Design Requirements 2018</t>
    </r>
  </si>
  <si>
    <t>Gravel Driveways or Roads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</si>
</sst>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"/>
    <numFmt numFmtId="165" formatCode="0.0"/>
    <numFmt numFmtId="166" formatCode="0.0000"/>
    <numFmt numFmtId="167" formatCode="#,##0.0000"/>
    <numFmt numFmtId="168" formatCode="#,##0.00000"/>
    <numFmt numFmtId="169" formatCode="0;\-0;;@"/>
    <numFmt numFmtId="170" formatCode="0.0000;\-0.0000;;@"/>
  </numFmts>
  <fonts count="29" x14ac:knownFonts="1">
    <font>
      <sz val="11"/>
      <color theme="1"/>
      <name val="Times New Roman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10"/>
      <name val="Arial"/>
      <family val="2"/>
    </font>
    <font>
      <sz val="11"/>
      <name val="Garamond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0"/>
      <name val="Times New Roman"/>
      <family val="1"/>
    </font>
    <font>
      <b/>
      <sz val="12"/>
      <name val="Times New Roman"/>
      <family val="1"/>
      <scheme val="minor"/>
    </font>
    <font>
      <sz val="11"/>
      <name val="Times New Roman"/>
      <family val="1"/>
      <scheme val="minor"/>
    </font>
    <font>
      <b/>
      <sz val="11"/>
      <name val="Times New Roman"/>
      <family val="1"/>
      <scheme val="minor"/>
    </font>
    <font>
      <sz val="12"/>
      <name val="Times New Roman"/>
      <family val="1"/>
      <scheme val="minor"/>
    </font>
    <font>
      <b/>
      <u/>
      <sz val="10"/>
      <name val="Times New Roman"/>
      <family val="1"/>
    </font>
    <font>
      <vertAlign val="subscript"/>
      <sz val="10"/>
      <name val="Times New Roman"/>
      <family val="1"/>
    </font>
    <font>
      <b/>
      <vertAlign val="subscript"/>
      <sz val="10"/>
      <name val="Times New Roman"/>
      <family val="1"/>
    </font>
    <font>
      <i/>
      <sz val="10"/>
      <name val="Times New Roman"/>
      <family val="1"/>
    </font>
    <font>
      <b/>
      <sz val="9"/>
      <color indexed="81"/>
      <name val="Tahoma"/>
      <family val="2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i/>
      <sz val="12"/>
      <name val="Times New Roman"/>
      <family val="1"/>
      <scheme val="minor"/>
    </font>
    <font>
      <b/>
      <u/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55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72">
    <xf numFmtId="0" fontId="0" fillId="0" borderId="0" xfId="0"/>
    <xf numFmtId="0" fontId="3" fillId="0" borderId="0" xfId="1" applyFont="1" applyAlignment="1">
      <alignment horizontal="center"/>
    </xf>
    <xf numFmtId="3" fontId="2" fillId="0" borderId="0" xfId="2" applyNumberFormat="1" applyFont="1" applyAlignment="1">
      <alignment horizontal="center"/>
    </xf>
    <xf numFmtId="1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9" fontId="3" fillId="0" borderId="0" xfId="3" applyFont="1"/>
    <xf numFmtId="0" fontId="2" fillId="0" borderId="0" xfId="0" applyFont="1"/>
    <xf numFmtId="0" fontId="3" fillId="0" borderId="0" xfId="0" applyFont="1"/>
    <xf numFmtId="0" fontId="11" fillId="0" borderId="0" xfId="0" applyFont="1"/>
    <xf numFmtId="0" fontId="3" fillId="0" borderId="0" xfId="0" applyFont="1" applyAlignment="1">
      <alignment horizontal="center"/>
    </xf>
    <xf numFmtId="0" fontId="9" fillId="0" borderId="4" xfId="0" applyFont="1" applyBorder="1"/>
    <xf numFmtId="2" fontId="3" fillId="0" borderId="0" xfId="0" applyNumberFormat="1" applyFont="1"/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2" fontId="2" fillId="0" borderId="0" xfId="0" applyNumberFormat="1" applyFont="1"/>
    <xf numFmtId="2" fontId="7" fillId="0" borderId="15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9" fillId="0" borderId="5" xfId="0" applyFont="1" applyBorder="1"/>
    <xf numFmtId="2" fontId="9" fillId="0" borderId="4" xfId="0" applyNumberFormat="1" applyFont="1" applyBorder="1"/>
    <xf numFmtId="0" fontId="9" fillId="0" borderId="3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/>
    <xf numFmtId="0" fontId="7" fillId="0" borderId="0" xfId="0" applyFont="1"/>
    <xf numFmtId="2" fontId="7" fillId="0" borderId="0" xfId="0" applyNumberFormat="1" applyFont="1"/>
    <xf numFmtId="0" fontId="6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3" fillId="4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 applyProtection="1">
      <alignment horizontal="center"/>
      <protection locked="0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22" xfId="0" applyFont="1" applyBorder="1"/>
    <xf numFmtId="0" fontId="3" fillId="0" borderId="21" xfId="0" applyFont="1" applyBorder="1" applyAlignment="1">
      <alignment horizontal="right"/>
    </xf>
    <xf numFmtId="164" fontId="2" fillId="0" borderId="21" xfId="0" applyNumberFormat="1" applyFont="1" applyBorder="1" applyAlignment="1">
      <alignment horizontal="center"/>
    </xf>
    <xf numFmtId="0" fontId="3" fillId="0" borderId="20" xfId="0" applyFont="1" applyBorder="1"/>
    <xf numFmtId="1" fontId="3" fillId="0" borderId="0" xfId="0" applyNumberFormat="1" applyFont="1"/>
    <xf numFmtId="0" fontId="3" fillId="0" borderId="21" xfId="0" applyFont="1" applyBorder="1"/>
    <xf numFmtId="3" fontId="2" fillId="0" borderId="2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22" xfId="0" applyFont="1" applyBorder="1" applyAlignment="1">
      <alignment horizontal="right"/>
    </xf>
    <xf numFmtId="167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3" fontId="2" fillId="0" borderId="10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10" fontId="3" fillId="0" borderId="0" xfId="3" applyNumberFormat="1" applyFont="1" applyAlignment="1" applyProtection="1">
      <alignment horizontal="center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wrapText="1"/>
    </xf>
    <xf numFmtId="2" fontId="7" fillId="0" borderId="10" xfId="0" applyNumberFormat="1" applyFont="1" applyBorder="1"/>
    <xf numFmtId="0" fontId="7" fillId="0" borderId="10" xfId="0" applyFont="1" applyBorder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169" fontId="3" fillId="0" borderId="0" xfId="0" applyNumberFormat="1" applyFont="1"/>
    <xf numFmtId="170" fontId="2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right"/>
    </xf>
    <xf numFmtId="0" fontId="8" fillId="0" borderId="2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2" fontId="7" fillId="0" borderId="9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0" fontId="7" fillId="0" borderId="5" xfId="0" applyFont="1" applyBorder="1"/>
    <xf numFmtId="2" fontId="21" fillId="0" borderId="8" xfId="0" applyNumberFormat="1" applyFont="1" applyBorder="1" applyAlignment="1">
      <alignment horizontal="center"/>
    </xf>
    <xf numFmtId="2" fontId="21" fillId="0" borderId="7" xfId="0" applyNumberFormat="1" applyFont="1" applyBorder="1" applyAlignment="1">
      <alignment horizontal="center"/>
    </xf>
    <xf numFmtId="2" fontId="22" fillId="0" borderId="6" xfId="0" applyNumberFormat="1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9" fillId="0" borderId="0" xfId="0" applyFo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3" fillId="0" borderId="0" xfId="0" applyFont="1"/>
    <xf numFmtId="14" fontId="7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6" fillId="0" borderId="0" xfId="0" applyFont="1"/>
    <xf numFmtId="0" fontId="19" fillId="0" borderId="0" xfId="0" applyFont="1"/>
    <xf numFmtId="0" fontId="3" fillId="0" borderId="20" xfId="0" applyFont="1" applyBorder="1" applyAlignment="1">
      <alignment horizontal="left" wrapText="1"/>
    </xf>
    <xf numFmtId="0" fontId="3" fillId="0" borderId="0" xfId="1" applyFont="1"/>
    <xf numFmtId="0" fontId="3" fillId="0" borderId="0" xfId="1" applyFont="1" applyAlignment="1">
      <alignment horizontal="right"/>
    </xf>
    <xf numFmtId="2" fontId="2" fillId="0" borderId="0" xfId="1" applyNumberFormat="1" applyFont="1" applyAlignment="1">
      <alignment horizontal="center"/>
    </xf>
    <xf numFmtId="3" fontId="2" fillId="0" borderId="0" xfId="1" applyNumberFormat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3" fontId="3" fillId="0" borderId="0" xfId="1" applyNumberFormat="1" applyFont="1" applyAlignment="1">
      <alignment horizontal="center"/>
    </xf>
    <xf numFmtId="2" fontId="2" fillId="0" borderId="10" xfId="1" applyNumberFormat="1" applyFont="1" applyBorder="1" applyAlignment="1">
      <alignment horizontal="center"/>
    </xf>
    <xf numFmtId="0" fontId="16" fillId="0" borderId="0" xfId="1" applyFont="1"/>
    <xf numFmtId="0" fontId="16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2" fontId="3" fillId="0" borderId="0" xfId="1" applyNumberFormat="1" applyFont="1" applyAlignment="1">
      <alignment horizontal="center"/>
    </xf>
    <xf numFmtId="0" fontId="1" fillId="0" borderId="26" xfId="0" applyFont="1" applyBorder="1"/>
    <xf numFmtId="0" fontId="3" fillId="0" borderId="27" xfId="0" applyFont="1" applyBorder="1"/>
    <xf numFmtId="0" fontId="3" fillId="0" borderId="27" xfId="0" applyFont="1" applyBorder="1" applyAlignment="1">
      <alignment horizontal="right"/>
    </xf>
    <xf numFmtId="0" fontId="3" fillId="0" borderId="27" xfId="0" applyFont="1" applyBorder="1" applyAlignment="1">
      <alignment horizontal="center"/>
    </xf>
    <xf numFmtId="0" fontId="1" fillId="0" borderId="28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3" fontId="2" fillId="0" borderId="2" xfId="0" applyNumberFormat="1" applyFont="1" applyBorder="1" applyAlignment="1">
      <alignment horizontal="center"/>
    </xf>
    <xf numFmtId="0" fontId="3" fillId="0" borderId="1" xfId="0" applyFont="1" applyBorder="1"/>
    <xf numFmtId="164" fontId="2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1" fontId="3" fillId="0" borderId="0" xfId="1" applyNumberFormat="1" applyFont="1" applyAlignment="1">
      <alignment horizontal="center"/>
    </xf>
    <xf numFmtId="0" fontId="26" fillId="0" borderId="0" xfId="0" applyFont="1"/>
    <xf numFmtId="2" fontId="7" fillId="4" borderId="14" xfId="0" applyNumberFormat="1" applyFont="1" applyFill="1" applyBorder="1" applyAlignment="1">
      <alignment horizontal="center"/>
    </xf>
    <xf numFmtId="2" fontId="7" fillId="4" borderId="12" xfId="0" applyNumberFormat="1" applyFont="1" applyFill="1" applyBorder="1" applyAlignment="1">
      <alignment horizontal="center"/>
    </xf>
    <xf numFmtId="2" fontId="7" fillId="4" borderId="13" xfId="0" applyNumberFormat="1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165" fontId="3" fillId="4" borderId="0" xfId="0" applyNumberFormat="1" applyFont="1" applyFill="1" applyAlignment="1" applyProtection="1">
      <alignment horizontal="center"/>
      <protection locked="0"/>
    </xf>
    <xf numFmtId="164" fontId="3" fillId="4" borderId="0" xfId="0" applyNumberFormat="1" applyFont="1" applyFill="1" applyAlignment="1" applyProtection="1">
      <alignment horizontal="center"/>
      <protection locked="0"/>
    </xf>
    <xf numFmtId="10" fontId="3" fillId="4" borderId="0" xfId="3" applyNumberFormat="1" applyFont="1" applyFill="1" applyAlignment="1" applyProtection="1">
      <alignment horizontal="center"/>
      <protection locked="0"/>
    </xf>
    <xf numFmtId="3" fontId="2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4" fontId="2" fillId="4" borderId="21" xfId="0" applyNumberFormat="1" applyFont="1" applyFill="1" applyBorder="1" applyAlignment="1">
      <alignment horizontal="center"/>
    </xf>
    <xf numFmtId="2" fontId="3" fillId="4" borderId="0" xfId="1" applyNumberFormat="1" applyFont="1" applyFill="1" applyAlignment="1" applyProtection="1">
      <alignment horizontal="center"/>
      <protection locked="0"/>
    </xf>
    <xf numFmtId="0" fontId="3" fillId="4" borderId="0" xfId="1" applyFont="1" applyFill="1" applyAlignment="1">
      <alignment horizontal="center"/>
    </xf>
    <xf numFmtId="2" fontId="3" fillId="4" borderId="0" xfId="0" applyNumberFormat="1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/>
    </xf>
    <xf numFmtId="0" fontId="13" fillId="5" borderId="0" xfId="0" applyFont="1" applyFill="1" applyAlignment="1">
      <alignment horizontal="left"/>
    </xf>
    <xf numFmtId="0" fontId="27" fillId="0" borderId="0" xfId="0" applyFont="1"/>
    <xf numFmtId="0" fontId="15" fillId="0" borderId="0" xfId="0" applyFont="1" applyAlignment="1">
      <alignment horizontal="left"/>
    </xf>
    <xf numFmtId="2" fontId="13" fillId="0" borderId="0" xfId="0" applyNumberFormat="1" applyFont="1"/>
    <xf numFmtId="0" fontId="27" fillId="0" borderId="0" xfId="0" applyFont="1" applyAlignment="1">
      <alignment horizontal="left" wrapText="1"/>
    </xf>
    <xf numFmtId="0" fontId="13" fillId="4" borderId="0" xfId="0" applyFont="1" applyFill="1" applyAlignment="1">
      <alignment horizontal="left" vertical="top" wrapText="1"/>
    </xf>
    <xf numFmtId="0" fontId="15" fillId="0" borderId="0" xfId="0" applyFont="1" applyAlignment="1">
      <alignment horizontal="left"/>
    </xf>
    <xf numFmtId="0" fontId="13" fillId="4" borderId="0" xfId="0" applyFont="1" applyFill="1" applyAlignment="1">
      <alignment horizontal="left"/>
    </xf>
    <xf numFmtId="0" fontId="27" fillId="0" borderId="14" xfId="0" applyFont="1" applyBorder="1" applyAlignment="1">
      <alignment horizontal="center"/>
    </xf>
    <xf numFmtId="0" fontId="13" fillId="5" borderId="0" xfId="0" applyFont="1" applyFill="1" applyAlignment="1">
      <alignment horizontal="left"/>
    </xf>
    <xf numFmtId="14" fontId="13" fillId="5" borderId="0" xfId="0" applyNumberFormat="1" applyFont="1" applyFill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4" borderId="16" xfId="0" applyFont="1" applyFill="1" applyBorder="1" applyAlignment="1">
      <alignment horizontal="left"/>
    </xf>
    <xf numFmtId="0" fontId="7" fillId="4" borderId="11" xfId="0" applyFont="1" applyFill="1" applyBorder="1" applyAlignment="1">
      <alignment horizontal="left"/>
    </xf>
    <xf numFmtId="0" fontId="8" fillId="0" borderId="22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7" fillId="4" borderId="18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left"/>
    </xf>
    <xf numFmtId="0" fontId="24" fillId="0" borderId="2" xfId="0" applyFont="1" applyBorder="1" applyAlignment="1">
      <alignment horizontal="center" wrapText="1"/>
    </xf>
    <xf numFmtId="170" fontId="7" fillId="0" borderId="0" xfId="0" applyNumberFormat="1" applyFont="1" applyAlignment="1">
      <alignment horizontal="center" wrapText="1"/>
    </xf>
    <xf numFmtId="0" fontId="8" fillId="3" borderId="22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24" fillId="0" borderId="21" xfId="0" applyFont="1" applyBorder="1" applyAlignment="1">
      <alignment horizontal="center" wrapText="1"/>
    </xf>
    <xf numFmtId="170" fontId="2" fillId="4" borderId="14" xfId="0" applyNumberFormat="1" applyFont="1" applyFill="1" applyBorder="1" applyAlignment="1">
      <alignment horizontal="center"/>
    </xf>
    <xf numFmtId="14" fontId="2" fillId="4" borderId="12" xfId="0" applyNumberFormat="1" applyFont="1" applyFill="1" applyBorder="1" applyAlignment="1">
      <alignment horizontal="center"/>
    </xf>
    <xf numFmtId="170" fontId="2" fillId="4" borderId="12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</cellXfs>
  <cellStyles count="5">
    <cellStyle name="Comma 2" xfId="2" xr:uid="{6549D857-9909-4D23-86B9-FCFBC8554490}"/>
    <cellStyle name="Normal" xfId="0" builtinId="0"/>
    <cellStyle name="Normal 2" xfId="1" xr:uid="{8CEED829-0813-40B6-93EF-41210B2EF9FD}"/>
    <cellStyle name="Normal 3" xfId="4" xr:uid="{017EBC93-1442-4F19-82F6-0CB43B134E15}"/>
    <cellStyle name="Percent 2" xfId="3" xr:uid="{BF39C641-713F-4A64-8E4E-12F27364C1A2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2</xdr:row>
      <xdr:rowOff>66675</xdr:rowOff>
    </xdr:from>
    <xdr:to>
      <xdr:col>9</xdr:col>
      <xdr:colOff>413861</xdr:colOff>
      <xdr:row>2</xdr:row>
      <xdr:rowOff>66675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DA08BF73-6525-480D-9887-F5E94A659F24}"/>
            </a:ext>
          </a:extLst>
        </xdr:cNvPr>
        <xdr:cNvSpPr>
          <a:spLocks noChangeShapeType="1"/>
        </xdr:cNvSpPr>
      </xdr:nvSpPr>
      <xdr:spPr bwMode="auto">
        <a:xfrm>
          <a:off x="971550" y="447675"/>
          <a:ext cx="5669280" cy="0"/>
        </a:xfrm>
        <a:prstGeom prst="line">
          <a:avLst/>
        </a:prstGeom>
        <a:noFill/>
        <a:ln w="9525">
          <a:solidFill>
            <a:srgbClr val="663300"/>
          </a:solidFill>
          <a:round/>
          <a:headEnd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197641</xdr:colOff>
      <xdr:row>48</xdr:row>
      <xdr:rowOff>109522</xdr:rowOff>
    </xdr:from>
    <xdr:to>
      <xdr:col>10</xdr:col>
      <xdr:colOff>3808</xdr:colOff>
      <xdr:row>48</xdr:row>
      <xdr:rowOff>109522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A1DE9974-3DA0-419D-B695-09365ECF57F4}"/>
            </a:ext>
          </a:extLst>
        </xdr:cNvPr>
        <xdr:cNvSpPr>
          <a:spLocks noChangeShapeType="1"/>
        </xdr:cNvSpPr>
      </xdr:nvSpPr>
      <xdr:spPr bwMode="auto">
        <a:xfrm>
          <a:off x="197641" y="9467835"/>
          <a:ext cx="6128386" cy="0"/>
        </a:xfrm>
        <a:prstGeom prst="line">
          <a:avLst/>
        </a:prstGeom>
        <a:noFill/>
        <a:ln w="9525">
          <a:solidFill>
            <a:srgbClr val="66330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19050</xdr:rowOff>
    </xdr:from>
    <xdr:to>
      <xdr:col>0</xdr:col>
      <xdr:colOff>962025</xdr:colOff>
      <xdr:row>4</xdr:row>
      <xdr:rowOff>114300</xdr:rowOff>
    </xdr:to>
    <xdr:pic>
      <xdr:nvPicPr>
        <xdr:cNvPr id="7" name="Picture 6" descr="County of Saginaw, Michigan">
          <a:extLst>
            <a:ext uri="{FF2B5EF4-FFF2-40B4-BE49-F238E27FC236}">
              <a16:creationId xmlns:a16="http://schemas.microsoft.com/office/drawing/2014/main" id="{B673A94E-BA43-442C-9418-F6C7C9C65A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87630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ASWA">
  <a:themeElements>
    <a:clrScheme name="SASWA">
      <a:dk1>
        <a:srgbClr val="000000"/>
      </a:dk1>
      <a:lt1>
        <a:srgbClr val="FFFFFF"/>
      </a:lt1>
      <a:dk2>
        <a:srgbClr val="545454"/>
      </a:dk2>
      <a:lt2>
        <a:srgbClr val="BFBFBF"/>
      </a:lt2>
      <a:accent1>
        <a:srgbClr val="6DA1A3"/>
      </a:accent1>
      <a:accent2>
        <a:srgbClr val="498A8C"/>
      </a:accent2>
      <a:accent3>
        <a:srgbClr val="254546"/>
      </a:accent3>
      <a:accent4>
        <a:srgbClr val="636363"/>
      </a:accent4>
      <a:accent5>
        <a:srgbClr val="8DB27F"/>
      </a:accent5>
      <a:accent6>
        <a:srgbClr val="AFCE9F"/>
      </a:accent6>
      <a:hlink>
        <a:srgbClr val="498A8C"/>
      </a:hlink>
      <a:folHlink>
        <a:srgbClr val="F4643F"/>
      </a:folHlink>
    </a:clrScheme>
    <a:fontScheme name="Times New Roman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B5B0-1F5D-41BD-B39F-1953102A9DA8}">
  <sheetPr>
    <pageSetUpPr fitToPage="1"/>
  </sheetPr>
  <dimension ref="A5:N48"/>
  <sheetViews>
    <sheetView tabSelected="1" view="pageLayout" zoomScale="110" zoomScaleNormal="100" zoomScalePageLayoutView="110" workbookViewId="0">
      <selection activeCell="B30" sqref="B30:J31"/>
    </sheetView>
  </sheetViews>
  <sheetFormatPr defaultRowHeight="15" x14ac:dyDescent="0.25"/>
  <cols>
    <col min="1" max="1" width="19.140625" style="25" customWidth="1"/>
    <col min="2" max="2" width="15.140625" style="25" customWidth="1"/>
    <col min="3" max="3" width="2.5703125" style="25" bestFit="1" customWidth="1"/>
    <col min="4" max="4" width="7.85546875" style="25" customWidth="1"/>
    <col min="5" max="5" width="3" style="25" bestFit="1" customWidth="1"/>
    <col min="6" max="6" width="2.85546875" style="25" customWidth="1"/>
    <col min="7" max="7" width="17.42578125" style="25" customWidth="1"/>
    <col min="8" max="8" width="12.5703125" style="25" customWidth="1"/>
    <col min="9" max="9" width="2.5703125" style="25" bestFit="1" customWidth="1"/>
    <col min="10" max="10" width="9" style="25" customWidth="1"/>
    <col min="11" max="11" width="3" style="25" bestFit="1" customWidth="1"/>
    <col min="12" max="12" width="9.140625" style="25"/>
    <col min="13" max="13" width="8.85546875" style="25" customWidth="1"/>
    <col min="14" max="14" width="9.140625" style="25" hidden="1" customWidth="1"/>
    <col min="15" max="16384" width="9.140625" style="25"/>
  </cols>
  <sheetData>
    <row r="5" spans="1:14" ht="11.25" customHeight="1" x14ac:dyDescent="0.25"/>
    <row r="6" spans="1:14" ht="15.75" x14ac:dyDescent="0.25">
      <c r="A6" s="26" t="s">
        <v>198</v>
      </c>
      <c r="B6" s="147"/>
      <c r="C6" s="147"/>
      <c r="D6" s="147"/>
      <c r="E6" s="147"/>
      <c r="F6" s="147"/>
      <c r="G6" s="147"/>
      <c r="H6" s="27"/>
      <c r="I6" s="27"/>
    </row>
    <row r="7" spans="1:14" ht="15.75" x14ac:dyDescent="0.25">
      <c r="A7" s="26" t="s">
        <v>199</v>
      </c>
      <c r="B7" s="138"/>
      <c r="C7" s="138"/>
      <c r="D7" s="138"/>
      <c r="E7" s="138"/>
      <c r="F7" s="138"/>
      <c r="G7" s="138"/>
      <c r="H7" s="27"/>
      <c r="I7" s="27"/>
    </row>
    <row r="8" spans="1:14" ht="15.75" x14ac:dyDescent="0.25">
      <c r="A8" s="26" t="s">
        <v>1</v>
      </c>
      <c r="B8" s="148"/>
      <c r="C8" s="147"/>
      <c r="D8" s="147"/>
      <c r="E8" s="147"/>
      <c r="F8" s="147"/>
      <c r="G8" s="147"/>
      <c r="H8" s="27"/>
      <c r="I8" s="27"/>
      <c r="N8" s="25" t="s">
        <v>59</v>
      </c>
    </row>
    <row r="9" spans="1:14" ht="15.75" x14ac:dyDescent="0.25">
      <c r="A9" s="26" t="s">
        <v>0</v>
      </c>
      <c r="B9" s="147"/>
      <c r="C9" s="147"/>
      <c r="D9" s="147"/>
      <c r="E9" s="147"/>
      <c r="F9" s="147"/>
      <c r="G9" s="147"/>
      <c r="H9" s="27"/>
      <c r="I9" s="27"/>
      <c r="N9" s="25" t="s">
        <v>60</v>
      </c>
    </row>
    <row r="10" spans="1:14" ht="15.75" x14ac:dyDescent="0.25">
      <c r="A10" s="26"/>
      <c r="B10" s="28"/>
      <c r="C10" s="28"/>
      <c r="D10" s="28"/>
      <c r="E10" s="28"/>
      <c r="F10" s="28"/>
      <c r="G10" s="28"/>
      <c r="H10" s="27"/>
      <c r="I10" s="27"/>
      <c r="N10" s="25" t="s">
        <v>61</v>
      </c>
    </row>
    <row r="11" spans="1:14" ht="15.75" x14ac:dyDescent="0.25">
      <c r="A11" s="26" t="s">
        <v>48</v>
      </c>
      <c r="B11" s="145"/>
      <c r="C11" s="145"/>
      <c r="D11" s="145"/>
      <c r="E11" s="145"/>
      <c r="F11" s="145"/>
      <c r="G11" s="28"/>
      <c r="H11" s="27"/>
      <c r="I11" s="27"/>
      <c r="N11" s="25" t="s">
        <v>62</v>
      </c>
    </row>
    <row r="12" spans="1:14" ht="15.75" x14ac:dyDescent="0.25">
      <c r="A12" s="139" t="s">
        <v>193</v>
      </c>
      <c r="B12" s="145"/>
      <c r="C12" s="145"/>
      <c r="D12" s="145"/>
      <c r="E12" s="145"/>
      <c r="F12" s="145"/>
      <c r="G12" s="28"/>
      <c r="H12" s="27"/>
      <c r="I12" s="27"/>
      <c r="N12" s="25" t="s">
        <v>63</v>
      </c>
    </row>
    <row r="13" spans="1:14" ht="15.75" x14ac:dyDescent="0.25">
      <c r="A13" s="26"/>
      <c r="B13" s="28"/>
      <c r="C13" s="28"/>
      <c r="D13" s="28"/>
      <c r="E13" s="28"/>
      <c r="F13" s="28"/>
      <c r="G13" s="28"/>
      <c r="H13" s="27"/>
      <c r="I13" s="27"/>
      <c r="N13" s="25" t="s">
        <v>64</v>
      </c>
    </row>
    <row r="14" spans="1:14" ht="15.75" x14ac:dyDescent="0.25">
      <c r="A14" s="26" t="s">
        <v>47</v>
      </c>
      <c r="B14" s="145"/>
      <c r="C14" s="145"/>
      <c r="D14" s="145"/>
      <c r="E14" s="145"/>
      <c r="F14" s="145"/>
      <c r="G14" s="28"/>
      <c r="H14" s="27"/>
      <c r="I14" s="27"/>
      <c r="N14" s="25" t="s">
        <v>65</v>
      </c>
    </row>
    <row r="15" spans="1:14" ht="15.75" x14ac:dyDescent="0.25">
      <c r="A15" s="26" t="s">
        <v>46</v>
      </c>
      <c r="B15" s="145"/>
      <c r="C15" s="145"/>
      <c r="D15" s="145"/>
      <c r="E15" s="145"/>
      <c r="F15" s="145"/>
      <c r="G15" s="28"/>
      <c r="H15" s="27"/>
      <c r="I15" s="27"/>
      <c r="N15" s="25" t="s">
        <v>66</v>
      </c>
    </row>
    <row r="16" spans="1:14" ht="15.75" x14ac:dyDescent="0.25">
      <c r="A16" s="139" t="s">
        <v>45</v>
      </c>
      <c r="E16" s="28"/>
      <c r="F16" s="28"/>
      <c r="G16" s="28"/>
      <c r="H16" s="27"/>
      <c r="I16" s="27"/>
    </row>
    <row r="17" spans="1:14" ht="15.75" x14ac:dyDescent="0.25">
      <c r="A17" s="26"/>
      <c r="B17" s="28"/>
      <c r="C17" s="28"/>
      <c r="D17" s="28"/>
      <c r="E17" s="28"/>
      <c r="F17" s="28"/>
      <c r="G17" s="28"/>
      <c r="H17" s="27"/>
      <c r="I17" s="27"/>
      <c r="N17" s="25" t="s">
        <v>67</v>
      </c>
    </row>
    <row r="18" spans="1:14" ht="15.75" x14ac:dyDescent="0.25">
      <c r="A18" s="26" t="s">
        <v>44</v>
      </c>
      <c r="B18" s="143"/>
      <c r="C18" s="143"/>
      <c r="D18" s="143"/>
      <c r="E18" s="143"/>
      <c r="F18" s="143"/>
      <c r="G18" s="143"/>
      <c r="H18" s="27"/>
      <c r="I18" s="27"/>
      <c r="N18" s="25" t="s">
        <v>68</v>
      </c>
    </row>
    <row r="19" spans="1:14" ht="15.75" customHeight="1" x14ac:dyDescent="0.25">
      <c r="A19" s="142" t="s">
        <v>197</v>
      </c>
      <c r="B19" s="143"/>
      <c r="C19" s="143"/>
      <c r="D19" s="143"/>
      <c r="E19" s="143"/>
      <c r="F19" s="143"/>
      <c r="G19" s="143"/>
      <c r="H19" s="27"/>
      <c r="I19" s="27"/>
      <c r="N19" s="25" t="s">
        <v>69</v>
      </c>
    </row>
    <row r="20" spans="1:14" ht="15.75" customHeight="1" x14ac:dyDescent="0.25">
      <c r="A20" s="142"/>
      <c r="B20" s="143"/>
      <c r="C20" s="143"/>
      <c r="D20" s="143"/>
      <c r="E20" s="143"/>
      <c r="F20" s="143"/>
      <c r="G20" s="143"/>
      <c r="H20" s="27"/>
      <c r="I20" s="27"/>
      <c r="N20" s="25" t="s">
        <v>70</v>
      </c>
    </row>
    <row r="21" spans="1:14" ht="15.75" customHeight="1" x14ac:dyDescent="0.25">
      <c r="A21" s="142"/>
      <c r="B21" s="143"/>
      <c r="C21" s="143"/>
      <c r="D21" s="143"/>
      <c r="E21" s="143"/>
      <c r="F21" s="143"/>
      <c r="G21" s="143"/>
      <c r="H21" s="27"/>
      <c r="I21" s="27"/>
    </row>
    <row r="22" spans="1:14" ht="15.75" x14ac:dyDescent="0.25">
      <c r="A22" s="26"/>
      <c r="B22" s="27"/>
      <c r="C22" s="27"/>
      <c r="D22" s="27"/>
      <c r="E22" s="27"/>
      <c r="F22" s="27"/>
      <c r="G22" s="27"/>
      <c r="H22" s="27"/>
      <c r="I22" s="27"/>
      <c r="N22" s="25" t="s">
        <v>71</v>
      </c>
    </row>
    <row r="23" spans="1:14" ht="15.75" x14ac:dyDescent="0.25">
      <c r="A23" s="26" t="s">
        <v>43</v>
      </c>
      <c r="B23" s="27"/>
      <c r="C23" s="27"/>
      <c r="D23" s="27"/>
      <c r="E23" s="27"/>
      <c r="F23" s="27"/>
      <c r="G23" s="27"/>
      <c r="H23" s="27"/>
      <c r="I23" s="27"/>
      <c r="N23" s="25" t="s">
        <v>72</v>
      </c>
    </row>
    <row r="24" spans="1:14" ht="15.75" x14ac:dyDescent="0.25">
      <c r="A24" s="29"/>
      <c r="B24" s="30" t="s">
        <v>42</v>
      </c>
      <c r="C24" s="27"/>
      <c r="D24" s="145"/>
      <c r="E24" s="145"/>
      <c r="F24" s="145"/>
      <c r="G24" s="145"/>
      <c r="H24" s="27"/>
      <c r="I24" s="27"/>
      <c r="N24" s="25" t="s">
        <v>73</v>
      </c>
    </row>
    <row r="25" spans="1:14" ht="15.75" x14ac:dyDescent="0.25">
      <c r="A25" s="29"/>
      <c r="B25" s="30" t="s">
        <v>41</v>
      </c>
      <c r="C25" s="27"/>
      <c r="D25" s="145" t="s">
        <v>40</v>
      </c>
      <c r="E25" s="145"/>
      <c r="F25" s="145"/>
      <c r="G25" s="145"/>
      <c r="H25" s="27"/>
      <c r="I25" s="27"/>
      <c r="N25" s="25" t="s">
        <v>74</v>
      </c>
    </row>
    <row r="26" spans="1:14" ht="15.75" x14ac:dyDescent="0.25">
      <c r="A26" s="29"/>
      <c r="B26" s="30" t="s">
        <v>39</v>
      </c>
      <c r="C26" s="27"/>
      <c r="D26" s="145"/>
      <c r="E26" s="145"/>
      <c r="F26" s="145"/>
      <c r="G26" s="145"/>
      <c r="H26" s="27"/>
      <c r="I26" s="27"/>
      <c r="N26" s="25" t="s">
        <v>75</v>
      </c>
    </row>
    <row r="27" spans="1:14" ht="15.75" x14ac:dyDescent="0.25">
      <c r="A27" s="29"/>
      <c r="B27" s="30" t="s">
        <v>38</v>
      </c>
      <c r="C27" s="27"/>
      <c r="D27" s="145"/>
      <c r="E27" s="145"/>
      <c r="F27" s="145"/>
      <c r="G27" s="145"/>
      <c r="H27" s="27"/>
      <c r="I27" s="27"/>
      <c r="N27" s="25" t="s">
        <v>76</v>
      </c>
    </row>
    <row r="28" spans="1:14" ht="15.75" x14ac:dyDescent="0.25">
      <c r="A28" s="29"/>
      <c r="B28" s="30" t="s">
        <v>37</v>
      </c>
      <c r="C28" s="27"/>
      <c r="D28" s="145"/>
      <c r="E28" s="145"/>
      <c r="F28" s="145"/>
      <c r="G28" s="145"/>
      <c r="H28" s="27"/>
      <c r="I28" s="27"/>
      <c r="N28" s="25" t="s">
        <v>77</v>
      </c>
    </row>
    <row r="29" spans="1:14" x14ac:dyDescent="0.25">
      <c r="A29" s="29"/>
      <c r="B29" s="27"/>
      <c r="C29" s="27"/>
      <c r="D29" s="27"/>
      <c r="E29" s="27"/>
      <c r="F29" s="27"/>
      <c r="G29" s="27"/>
      <c r="H29" s="27"/>
      <c r="I29" s="27"/>
      <c r="N29" s="25" t="s">
        <v>78</v>
      </c>
    </row>
    <row r="30" spans="1:14" ht="15.75" customHeight="1" x14ac:dyDescent="0.25">
      <c r="A30" s="26" t="s">
        <v>36</v>
      </c>
      <c r="B30" s="143" t="s">
        <v>200</v>
      </c>
      <c r="C30" s="143"/>
      <c r="D30" s="143"/>
      <c r="E30" s="143"/>
      <c r="F30" s="143"/>
      <c r="G30" s="143"/>
      <c r="H30" s="143"/>
      <c r="I30" s="143"/>
      <c r="J30" s="143"/>
      <c r="N30" s="25" t="s">
        <v>79</v>
      </c>
    </row>
    <row r="31" spans="1:14" ht="15.75" x14ac:dyDescent="0.25">
      <c r="A31" s="26"/>
      <c r="B31" s="143"/>
      <c r="C31" s="143"/>
      <c r="D31" s="143"/>
      <c r="E31" s="143"/>
      <c r="F31" s="143"/>
      <c r="G31" s="143"/>
      <c r="H31" s="143"/>
      <c r="I31" s="143"/>
      <c r="J31" s="143"/>
      <c r="N31" s="25" t="s">
        <v>80</v>
      </c>
    </row>
    <row r="32" spans="1:14" ht="15.75" x14ac:dyDescent="0.25">
      <c r="A32" s="26"/>
      <c r="B32" s="27"/>
      <c r="C32" s="27"/>
      <c r="D32" s="27"/>
      <c r="E32" s="27"/>
      <c r="F32" s="27"/>
      <c r="G32" s="27"/>
      <c r="H32" s="27"/>
      <c r="I32" s="27"/>
      <c r="N32" s="25" t="s">
        <v>81</v>
      </c>
    </row>
    <row r="33" spans="1:14" ht="15.75" x14ac:dyDescent="0.25">
      <c r="A33" s="26" t="s">
        <v>188</v>
      </c>
      <c r="B33" s="27"/>
      <c r="C33" s="27"/>
      <c r="D33" s="27"/>
      <c r="E33" s="27"/>
      <c r="F33" s="27"/>
      <c r="G33" s="27"/>
      <c r="H33" s="27"/>
      <c r="I33" s="27"/>
      <c r="N33" s="25" t="s">
        <v>82</v>
      </c>
    </row>
    <row r="34" spans="1:14" ht="15.75" x14ac:dyDescent="0.25">
      <c r="A34" s="146" t="s">
        <v>194</v>
      </c>
      <c r="B34" s="146"/>
      <c r="C34" s="146"/>
      <c r="D34" s="146"/>
      <c r="E34" s="146"/>
      <c r="F34" s="27"/>
      <c r="G34" s="146" t="s">
        <v>195</v>
      </c>
      <c r="H34" s="146"/>
      <c r="I34" s="146"/>
      <c r="J34" s="146"/>
      <c r="K34" s="146"/>
    </row>
    <row r="35" spans="1:14" ht="15.75" x14ac:dyDescent="0.25">
      <c r="A35" s="140" t="s">
        <v>35</v>
      </c>
      <c r="B35" s="31"/>
      <c r="C35" s="27" t="s">
        <v>30</v>
      </c>
      <c r="D35" s="141">
        <f>B35/43560</f>
        <v>0</v>
      </c>
      <c r="E35" s="27" t="s">
        <v>196</v>
      </c>
      <c r="F35" s="27"/>
      <c r="G35" s="140" t="s">
        <v>35</v>
      </c>
      <c r="H35" s="31"/>
      <c r="I35" s="27" t="s">
        <v>30</v>
      </c>
      <c r="J35" s="141">
        <f>H35/43560</f>
        <v>0</v>
      </c>
      <c r="K35" s="27" t="s">
        <v>196</v>
      </c>
    </row>
    <row r="36" spans="1:14" ht="15.75" x14ac:dyDescent="0.25">
      <c r="A36" s="140" t="s">
        <v>34</v>
      </c>
      <c r="B36" s="31"/>
      <c r="C36" s="27" t="s">
        <v>30</v>
      </c>
      <c r="D36" s="141">
        <f>B36/43560</f>
        <v>0</v>
      </c>
      <c r="E36" s="27" t="s">
        <v>196</v>
      </c>
      <c r="F36" s="27"/>
      <c r="G36" s="140" t="s">
        <v>34</v>
      </c>
      <c r="H36" s="31"/>
      <c r="I36" s="27" t="s">
        <v>30</v>
      </c>
      <c r="J36" s="141">
        <f>H36/43560</f>
        <v>0</v>
      </c>
      <c r="K36" s="27" t="s">
        <v>196</v>
      </c>
    </row>
    <row r="37" spans="1:14" ht="15.75" x14ac:dyDescent="0.25">
      <c r="A37" s="140" t="s">
        <v>33</v>
      </c>
      <c r="B37" s="31"/>
      <c r="C37" s="27" t="s">
        <v>30</v>
      </c>
      <c r="D37" s="141">
        <f>B37/43560</f>
        <v>0</v>
      </c>
      <c r="E37" s="27" t="s">
        <v>196</v>
      </c>
      <c r="F37" s="27"/>
      <c r="G37" s="140" t="s">
        <v>33</v>
      </c>
      <c r="H37" s="31"/>
      <c r="I37" s="27" t="s">
        <v>30</v>
      </c>
      <c r="J37" s="141">
        <f>H37/43560</f>
        <v>0</v>
      </c>
      <c r="K37" s="27" t="s">
        <v>196</v>
      </c>
    </row>
    <row r="38" spans="1:14" ht="15.75" x14ac:dyDescent="0.25">
      <c r="A38" s="140" t="s">
        <v>32</v>
      </c>
      <c r="B38" s="31"/>
      <c r="C38" s="27" t="s">
        <v>30</v>
      </c>
      <c r="D38" s="141">
        <f>B38/43560</f>
        <v>0</v>
      </c>
      <c r="E38" s="27" t="s">
        <v>196</v>
      </c>
      <c r="F38" s="27"/>
      <c r="G38" s="140" t="s">
        <v>32</v>
      </c>
      <c r="H38" s="31"/>
      <c r="I38" s="27" t="s">
        <v>30</v>
      </c>
      <c r="J38" s="141">
        <f>H38/43560</f>
        <v>0</v>
      </c>
      <c r="K38" s="27" t="s">
        <v>196</v>
      </c>
    </row>
    <row r="39" spans="1:14" ht="15.75" x14ac:dyDescent="0.25">
      <c r="A39" s="140" t="s">
        <v>31</v>
      </c>
      <c r="B39" s="31"/>
      <c r="C39" s="27" t="s">
        <v>30</v>
      </c>
      <c r="D39" s="141">
        <f>B39/43560</f>
        <v>0</v>
      </c>
      <c r="E39" s="27" t="s">
        <v>196</v>
      </c>
      <c r="F39" s="27"/>
      <c r="G39" s="140" t="s">
        <v>31</v>
      </c>
      <c r="H39" s="31"/>
      <c r="I39" s="27" t="s">
        <v>30</v>
      </c>
      <c r="J39" s="141">
        <f>H39/43560</f>
        <v>0</v>
      </c>
      <c r="K39" s="27" t="s">
        <v>196</v>
      </c>
    </row>
    <row r="40" spans="1:14" ht="15.75" x14ac:dyDescent="0.25">
      <c r="A40" s="140"/>
      <c r="B40" s="31"/>
      <c r="C40" s="27"/>
      <c r="D40" s="141"/>
      <c r="E40" s="27"/>
      <c r="F40" s="27"/>
      <c r="G40" s="140"/>
      <c r="H40" s="31"/>
      <c r="I40" s="27"/>
      <c r="J40" s="141"/>
      <c r="K40" s="27"/>
    </row>
    <row r="41" spans="1:14" ht="15.75" x14ac:dyDescent="0.25">
      <c r="A41" s="26" t="s">
        <v>187</v>
      </c>
      <c r="B41" s="27"/>
      <c r="C41" s="27"/>
      <c r="D41" s="27"/>
      <c r="E41" s="27"/>
      <c r="F41" s="27"/>
      <c r="G41" s="27"/>
      <c r="H41" s="27"/>
      <c r="I41" s="27"/>
    </row>
    <row r="42" spans="1:14" ht="15.75" x14ac:dyDescent="0.25">
      <c r="A42" s="144" t="s">
        <v>186</v>
      </c>
      <c r="B42" s="144"/>
      <c r="C42" s="144"/>
      <c r="D42" s="144"/>
      <c r="E42" s="144"/>
      <c r="F42" s="144"/>
      <c r="G42" s="144"/>
      <c r="H42" s="144"/>
      <c r="I42" s="144"/>
    </row>
    <row r="43" spans="1:14" x14ac:dyDescent="0.25">
      <c r="A43" s="27"/>
      <c r="B43" s="143"/>
      <c r="C43" s="143"/>
      <c r="D43" s="143"/>
      <c r="E43" s="143"/>
      <c r="F43" s="143"/>
      <c r="G43" s="143"/>
      <c r="H43" s="143"/>
      <c r="I43" s="143"/>
      <c r="J43" s="143"/>
    </row>
    <row r="44" spans="1:14" ht="15.75" x14ac:dyDescent="0.25">
      <c r="A44" s="26"/>
      <c r="B44" s="143"/>
      <c r="C44" s="143"/>
      <c r="D44" s="143"/>
      <c r="E44" s="143"/>
      <c r="F44" s="143"/>
      <c r="G44" s="143"/>
      <c r="H44" s="143"/>
      <c r="I44" s="143"/>
      <c r="J44" s="143"/>
    </row>
    <row r="45" spans="1:14" ht="15.75" x14ac:dyDescent="0.25">
      <c r="A45" s="26"/>
      <c r="B45" s="143"/>
      <c r="C45" s="143"/>
      <c r="D45" s="143"/>
      <c r="E45" s="143"/>
      <c r="F45" s="143"/>
      <c r="G45" s="143"/>
      <c r="H45" s="143"/>
      <c r="I45" s="143"/>
      <c r="J45" s="143"/>
    </row>
    <row r="46" spans="1:14" ht="15.75" x14ac:dyDescent="0.25">
      <c r="A46" s="26"/>
      <c r="B46" s="143"/>
      <c r="C46" s="143"/>
      <c r="D46" s="143"/>
      <c r="E46" s="143"/>
      <c r="F46" s="143"/>
      <c r="G46" s="143"/>
      <c r="H46" s="143"/>
      <c r="I46" s="143"/>
      <c r="J46" s="143"/>
    </row>
    <row r="47" spans="1:14" x14ac:dyDescent="0.25">
      <c r="A47" s="27"/>
      <c r="B47" s="143"/>
      <c r="C47" s="143"/>
      <c r="D47" s="143"/>
      <c r="E47" s="143"/>
      <c r="F47" s="143"/>
      <c r="G47" s="143"/>
      <c r="H47" s="143"/>
      <c r="I47" s="143"/>
      <c r="J47" s="143"/>
    </row>
    <row r="48" spans="1:14" x14ac:dyDescent="0.25">
      <c r="A48" s="27"/>
      <c r="B48" s="143"/>
      <c r="C48" s="143"/>
      <c r="D48" s="143"/>
      <c r="E48" s="143"/>
      <c r="F48" s="143"/>
      <c r="G48" s="143"/>
      <c r="H48" s="143"/>
      <c r="I48" s="143"/>
      <c r="J48" s="143"/>
    </row>
  </sheetData>
  <mergeCells count="19">
    <mergeCell ref="B14:F14"/>
    <mergeCell ref="B15:F15"/>
    <mergeCell ref="B30:J31"/>
    <mergeCell ref="B18:G21"/>
    <mergeCell ref="B6:G6"/>
    <mergeCell ref="B8:G8"/>
    <mergeCell ref="B9:G9"/>
    <mergeCell ref="B11:F11"/>
    <mergeCell ref="B12:F12"/>
    <mergeCell ref="A19:A21"/>
    <mergeCell ref="B43:J48"/>
    <mergeCell ref="A42:I42"/>
    <mergeCell ref="D26:G26"/>
    <mergeCell ref="D27:G27"/>
    <mergeCell ref="D28:G28"/>
    <mergeCell ref="A34:E34"/>
    <mergeCell ref="G34:K34"/>
    <mergeCell ref="D24:G24"/>
    <mergeCell ref="D25:G25"/>
  </mergeCells>
  <pageMargins left="0.7" right="0.7" top="0.75" bottom="0.75" header="0.3" footer="0.3"/>
  <pageSetup scale="97" orientation="portrait" r:id="rId1"/>
  <headerFooter>
    <oddHeader>&amp;LSaginaw County Public Works Commissioner 
Design Requirements &amp;R&amp;"-,Bold Italic"&amp;12&amp;A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14346-44DB-4BA1-B63A-37C05128B600}">
  <dimension ref="A1:Q40"/>
  <sheetViews>
    <sheetView view="pageLayout" zoomScaleNormal="100" workbookViewId="0">
      <selection activeCell="C36" sqref="C36"/>
    </sheetView>
  </sheetViews>
  <sheetFormatPr defaultRowHeight="15" x14ac:dyDescent="0.25"/>
  <cols>
    <col min="1" max="1" width="12.140625" style="7" customWidth="1"/>
    <col min="2" max="2" width="33.42578125" style="7" customWidth="1"/>
    <col min="3" max="3" width="10.7109375" style="7" customWidth="1"/>
    <col min="4" max="4" width="12.7109375" style="7" customWidth="1"/>
    <col min="5" max="5" width="16.85546875" style="7" customWidth="1"/>
    <col min="6" max="7" width="9.140625" style="7"/>
    <col min="8" max="8" width="40.85546875" style="7" customWidth="1"/>
    <col min="9" max="9" width="21" style="7" customWidth="1"/>
    <col min="10" max="10" width="9.140625" style="7"/>
    <col min="11" max="11" width="17.28515625" style="7" customWidth="1"/>
    <col min="12" max="12" width="9.140625" style="7"/>
    <col min="13" max="13" width="5" style="7" bestFit="1" customWidth="1"/>
    <col min="14" max="17" width="9.140625" style="7"/>
  </cols>
  <sheetData>
    <row r="1" spans="1:17" ht="16.5" thickBot="1" x14ac:dyDescent="0.3">
      <c r="A1" s="159" t="s">
        <v>49</v>
      </c>
      <c r="B1" s="160"/>
      <c r="C1" s="160"/>
      <c r="D1" s="160"/>
      <c r="E1" s="161"/>
    </row>
    <row r="2" spans="1:17" ht="15.75" x14ac:dyDescent="0.25">
      <c r="A2" s="80" t="s">
        <v>28</v>
      </c>
      <c r="B2" s="158">
        <f>'Site Description'!B6:G6</f>
        <v>0</v>
      </c>
      <c r="C2" s="158"/>
      <c r="D2" s="81" t="s">
        <v>26</v>
      </c>
      <c r="E2" s="91"/>
      <c r="K2" s="8"/>
      <c r="L2" s="9"/>
    </row>
    <row r="3" spans="1:17" ht="16.5" thickBot="1" x14ac:dyDescent="0.3">
      <c r="A3" s="80" t="s">
        <v>27</v>
      </c>
      <c r="B3" s="158">
        <f>'Site Description'!B11:D11</f>
        <v>0</v>
      </c>
      <c r="C3" s="158"/>
      <c r="D3" s="82"/>
      <c r="E3" s="10"/>
      <c r="M3" s="11"/>
      <c r="P3" s="11"/>
    </row>
    <row r="4" spans="1:17" ht="16.5" thickBot="1" x14ac:dyDescent="0.3">
      <c r="A4" s="162"/>
      <c r="B4" s="163"/>
      <c r="C4" s="163"/>
      <c r="D4" s="163"/>
      <c r="E4" s="164"/>
      <c r="M4" s="11"/>
      <c r="O4" s="6"/>
    </row>
    <row r="5" spans="1:17" ht="16.5" thickBot="1" x14ac:dyDescent="0.3">
      <c r="A5" s="153" t="s">
        <v>50</v>
      </c>
      <c r="B5" s="154"/>
      <c r="C5" s="12" t="s">
        <v>25</v>
      </c>
      <c r="D5" s="71" t="s">
        <v>24</v>
      </c>
      <c r="E5" s="13" t="s">
        <v>51</v>
      </c>
      <c r="G5" s="9"/>
      <c r="O5" s="6"/>
      <c r="P5" s="14"/>
      <c r="Q5" s="6"/>
    </row>
    <row r="6" spans="1:17" x14ac:dyDescent="0.25">
      <c r="A6" s="155" t="s">
        <v>53</v>
      </c>
      <c r="B6" s="156"/>
      <c r="C6" s="15">
        <f t="shared" ref="C6:C14" si="0">IF(A6="",0,IF(A6="Impervious Area (pavement, roofs, buildings)",0.9,IF(A6="Water",1,IF(A6="Park/Playground/Cemetery Area",0.3,IF(A6="Lawn Area",0.17,IF(A6="Woodland Area",0.45,IF(A6="Pasture Area",0.4,IF(A6="Cultivated Area",0.6))))))))</f>
        <v>0.9</v>
      </c>
      <c r="D6" s="122">
        <v>0</v>
      </c>
      <c r="E6" s="73">
        <f>C6*D6</f>
        <v>0</v>
      </c>
      <c r="K6" s="8"/>
      <c r="L6" s="9"/>
    </row>
    <row r="7" spans="1:17" x14ac:dyDescent="0.25">
      <c r="A7" s="151" t="s">
        <v>55</v>
      </c>
      <c r="B7" s="152"/>
      <c r="C7" s="16">
        <f t="shared" si="0"/>
        <v>1</v>
      </c>
      <c r="D7" s="122">
        <v>0</v>
      </c>
      <c r="E7" s="74">
        <f t="shared" ref="E7:E14" si="1">C7*D7</f>
        <v>0</v>
      </c>
      <c r="K7" s="8"/>
      <c r="L7" s="9"/>
    </row>
    <row r="8" spans="1:17" x14ac:dyDescent="0.25">
      <c r="A8" s="151" t="s">
        <v>56</v>
      </c>
      <c r="B8" s="152"/>
      <c r="C8" s="16">
        <f t="shared" si="0"/>
        <v>0.3</v>
      </c>
      <c r="D8" s="122">
        <v>0</v>
      </c>
      <c r="E8" s="74">
        <f t="shared" si="1"/>
        <v>0</v>
      </c>
      <c r="K8" s="8"/>
      <c r="L8" s="9"/>
    </row>
    <row r="9" spans="1:17" x14ac:dyDescent="0.25">
      <c r="A9" s="151" t="s">
        <v>57</v>
      </c>
      <c r="B9" s="152"/>
      <c r="C9" s="16">
        <f t="shared" si="0"/>
        <v>0.17</v>
      </c>
      <c r="D9" s="122">
        <v>0</v>
      </c>
      <c r="E9" s="73">
        <f t="shared" si="1"/>
        <v>0</v>
      </c>
      <c r="O9" s="6"/>
    </row>
    <row r="10" spans="1:17" x14ac:dyDescent="0.25">
      <c r="A10" s="151" t="s">
        <v>52</v>
      </c>
      <c r="B10" s="152"/>
      <c r="C10" s="16">
        <f t="shared" si="0"/>
        <v>0.45</v>
      </c>
      <c r="D10" s="123">
        <v>0</v>
      </c>
      <c r="E10" s="73">
        <f t="shared" si="1"/>
        <v>0</v>
      </c>
      <c r="O10" s="6"/>
      <c r="P10" s="14"/>
      <c r="Q10" s="6"/>
    </row>
    <row r="11" spans="1:17" x14ac:dyDescent="0.25">
      <c r="A11" s="151" t="s">
        <v>58</v>
      </c>
      <c r="B11" s="152"/>
      <c r="C11" s="16">
        <f t="shared" si="0"/>
        <v>0.4</v>
      </c>
      <c r="D11" s="122">
        <v>0</v>
      </c>
      <c r="E11" s="73">
        <f t="shared" si="1"/>
        <v>0</v>
      </c>
      <c r="K11" s="8"/>
      <c r="L11" s="9"/>
    </row>
    <row r="12" spans="1:17" x14ac:dyDescent="0.25">
      <c r="A12" s="151" t="s">
        <v>54</v>
      </c>
      <c r="B12" s="152"/>
      <c r="C12" s="16">
        <f t="shared" si="0"/>
        <v>0.6</v>
      </c>
      <c r="D12" s="123">
        <v>0</v>
      </c>
      <c r="E12" s="73">
        <f t="shared" si="1"/>
        <v>0</v>
      </c>
    </row>
    <row r="13" spans="1:17" x14ac:dyDescent="0.25">
      <c r="A13" s="151" t="s">
        <v>203</v>
      </c>
      <c r="B13" s="152"/>
      <c r="C13" s="16">
        <v>0.8</v>
      </c>
      <c r="D13" s="122">
        <v>0</v>
      </c>
      <c r="E13" s="73">
        <f t="shared" si="1"/>
        <v>0</v>
      </c>
      <c r="M13" s="11"/>
    </row>
    <row r="14" spans="1:17" ht="15.75" thickBot="1" x14ac:dyDescent="0.3">
      <c r="A14" s="151"/>
      <c r="B14" s="152"/>
      <c r="C14" s="16">
        <f t="shared" si="0"/>
        <v>0</v>
      </c>
      <c r="D14" s="124">
        <v>0</v>
      </c>
      <c r="E14" s="75">
        <f t="shared" si="1"/>
        <v>0</v>
      </c>
      <c r="O14" s="6"/>
    </row>
    <row r="15" spans="1:17" ht="15.75" thickBot="1" x14ac:dyDescent="0.3">
      <c r="A15" s="76"/>
      <c r="B15" s="23"/>
      <c r="C15" s="83" t="s">
        <v>23</v>
      </c>
      <c r="D15" s="77">
        <f>SUM(D6:D14)</f>
        <v>0</v>
      </c>
      <c r="E15" s="78">
        <f>SUM(E6:E14)</f>
        <v>0</v>
      </c>
      <c r="M15" s="11"/>
      <c r="O15" s="6"/>
      <c r="P15" s="14"/>
      <c r="Q15" s="6"/>
    </row>
    <row r="16" spans="1:17" ht="16.5" thickBot="1" x14ac:dyDescent="0.3">
      <c r="A16" s="17"/>
      <c r="B16" s="84"/>
      <c r="C16" s="85"/>
      <c r="D16" s="85"/>
      <c r="E16" s="18"/>
    </row>
    <row r="17" spans="1:5" ht="16.5" thickBot="1" x14ac:dyDescent="0.3">
      <c r="A17" s="149" t="s">
        <v>104</v>
      </c>
      <c r="B17" s="150"/>
      <c r="C17" s="79" t="e">
        <f>E15/D15</f>
        <v>#DIV/0!</v>
      </c>
      <c r="D17" s="86"/>
      <c r="E17" s="10"/>
    </row>
    <row r="18" spans="1:5" ht="16.5" thickBot="1" x14ac:dyDescent="0.3">
      <c r="A18" s="19"/>
      <c r="B18" s="20"/>
      <c r="C18" s="21"/>
      <c r="D18" s="21"/>
      <c r="E18" s="22"/>
    </row>
    <row r="19" spans="1:5" x14ac:dyDescent="0.25">
      <c r="B19" s="23"/>
      <c r="C19" s="24"/>
    </row>
    <row r="21" spans="1:5" ht="16.5" thickBot="1" x14ac:dyDescent="0.3">
      <c r="A21" s="157" t="s">
        <v>201</v>
      </c>
      <c r="B21" s="157"/>
      <c r="C21" s="157"/>
      <c r="D21" s="157"/>
      <c r="E21" s="157"/>
    </row>
    <row r="22" spans="1:5" ht="16.5" thickBot="1" x14ac:dyDescent="0.3">
      <c r="A22" s="165" t="s">
        <v>127</v>
      </c>
      <c r="B22" s="165"/>
      <c r="C22" s="165"/>
      <c r="D22" s="165"/>
      <c r="E22" s="165"/>
    </row>
    <row r="23" spans="1:5" ht="16.5" thickBot="1" x14ac:dyDescent="0.3">
      <c r="A23" s="159" t="s">
        <v>128</v>
      </c>
      <c r="B23" s="160"/>
      <c r="C23" s="160"/>
      <c r="D23" s="160"/>
      <c r="E23" s="161"/>
    </row>
    <row r="24" spans="1:5" ht="15.75" x14ac:dyDescent="0.25">
      <c r="A24" s="80" t="s">
        <v>28</v>
      </c>
      <c r="B24" s="158">
        <f>B2</f>
        <v>0</v>
      </c>
      <c r="C24" s="158"/>
      <c r="D24" s="81" t="s">
        <v>26</v>
      </c>
      <c r="E24" s="91"/>
    </row>
    <row r="25" spans="1:5" ht="16.5" thickBot="1" x14ac:dyDescent="0.3">
      <c r="A25" s="80" t="s">
        <v>27</v>
      </c>
      <c r="B25" s="158">
        <f>B3</f>
        <v>0</v>
      </c>
      <c r="C25" s="158"/>
      <c r="D25" s="82"/>
      <c r="E25" s="10"/>
    </row>
    <row r="26" spans="1:5" ht="16.5" thickBot="1" x14ac:dyDescent="0.3">
      <c r="A26" s="162"/>
      <c r="B26" s="163"/>
      <c r="C26" s="163"/>
      <c r="D26" s="163"/>
      <c r="E26" s="164"/>
    </row>
    <row r="27" spans="1:5" ht="16.5" thickBot="1" x14ac:dyDescent="0.3">
      <c r="A27" s="153" t="s">
        <v>50</v>
      </c>
      <c r="B27" s="154"/>
      <c r="C27" s="12" t="s">
        <v>25</v>
      </c>
      <c r="D27" s="71" t="s">
        <v>24</v>
      </c>
      <c r="E27" s="13" t="s">
        <v>51</v>
      </c>
    </row>
    <row r="28" spans="1:5" x14ac:dyDescent="0.25">
      <c r="A28" s="155" t="s">
        <v>53</v>
      </c>
      <c r="B28" s="156"/>
      <c r="C28" s="15">
        <f t="shared" ref="C28:C36" si="2">IF(A28="",0,IF(A28="Impervious Area (pavement, roofs, buildings)",0.9,IF(A28="Water",1,IF(A28="Park/Playground/Cemetery Area",0.3,IF(A28="Lawn Area",0.17,IF(A28="Woodland Area",0.45,IF(A28="Pasture Area",0.4,IF(A28="Cultivated Area",0.6))))))))</f>
        <v>0.9</v>
      </c>
      <c r="D28" s="122">
        <v>0</v>
      </c>
      <c r="E28" s="73">
        <f>C28*D28</f>
        <v>0</v>
      </c>
    </row>
    <row r="29" spans="1:5" x14ac:dyDescent="0.25">
      <c r="A29" s="151" t="s">
        <v>55</v>
      </c>
      <c r="B29" s="152"/>
      <c r="C29" s="16">
        <f t="shared" si="2"/>
        <v>1</v>
      </c>
      <c r="D29" s="122">
        <v>0</v>
      </c>
      <c r="E29" s="74">
        <f t="shared" ref="E29:E36" si="3">C29*D29</f>
        <v>0</v>
      </c>
    </row>
    <row r="30" spans="1:5" x14ac:dyDescent="0.25">
      <c r="A30" s="151" t="s">
        <v>56</v>
      </c>
      <c r="B30" s="152"/>
      <c r="C30" s="16">
        <f t="shared" si="2"/>
        <v>0.3</v>
      </c>
      <c r="D30" s="122">
        <v>0</v>
      </c>
      <c r="E30" s="74">
        <f t="shared" si="3"/>
        <v>0</v>
      </c>
    </row>
    <row r="31" spans="1:5" x14ac:dyDescent="0.25">
      <c r="A31" s="151" t="s">
        <v>57</v>
      </c>
      <c r="B31" s="152"/>
      <c r="C31" s="16">
        <f t="shared" si="2"/>
        <v>0.17</v>
      </c>
      <c r="D31" s="122">
        <v>0</v>
      </c>
      <c r="E31" s="73">
        <f t="shared" si="3"/>
        <v>0</v>
      </c>
    </row>
    <row r="32" spans="1:5" x14ac:dyDescent="0.25">
      <c r="A32" s="151" t="s">
        <v>52</v>
      </c>
      <c r="B32" s="152"/>
      <c r="C32" s="16">
        <f t="shared" si="2"/>
        <v>0.45</v>
      </c>
      <c r="D32" s="123">
        <v>0</v>
      </c>
      <c r="E32" s="73">
        <f t="shared" si="3"/>
        <v>0</v>
      </c>
    </row>
    <row r="33" spans="1:5" x14ac:dyDescent="0.25">
      <c r="A33" s="151" t="s">
        <v>58</v>
      </c>
      <c r="B33" s="152"/>
      <c r="C33" s="16">
        <f t="shared" si="2"/>
        <v>0.4</v>
      </c>
      <c r="D33" s="122">
        <v>0</v>
      </c>
      <c r="E33" s="73">
        <f t="shared" si="3"/>
        <v>0</v>
      </c>
    </row>
    <row r="34" spans="1:5" x14ac:dyDescent="0.25">
      <c r="A34" s="151" t="s">
        <v>54</v>
      </c>
      <c r="B34" s="152"/>
      <c r="C34" s="16">
        <f t="shared" si="2"/>
        <v>0.6</v>
      </c>
      <c r="D34" s="123">
        <v>0</v>
      </c>
      <c r="E34" s="73">
        <f t="shared" si="3"/>
        <v>0</v>
      </c>
    </row>
    <row r="35" spans="1:5" x14ac:dyDescent="0.25">
      <c r="A35" s="151" t="s">
        <v>203</v>
      </c>
      <c r="B35" s="152"/>
      <c r="C35" s="16">
        <v>0.8</v>
      </c>
      <c r="D35" s="122">
        <v>0</v>
      </c>
      <c r="E35" s="73">
        <f t="shared" si="3"/>
        <v>0</v>
      </c>
    </row>
    <row r="36" spans="1:5" ht="15.75" thickBot="1" x14ac:dyDescent="0.3">
      <c r="A36" s="151"/>
      <c r="B36" s="152"/>
      <c r="C36" s="16">
        <f t="shared" si="2"/>
        <v>0</v>
      </c>
      <c r="D36" s="124">
        <v>0</v>
      </c>
      <c r="E36" s="75">
        <f t="shared" si="3"/>
        <v>0</v>
      </c>
    </row>
    <row r="37" spans="1:5" ht="15.75" thickBot="1" x14ac:dyDescent="0.3">
      <c r="A37" s="76"/>
      <c r="B37" s="23"/>
      <c r="C37" s="83" t="s">
        <v>23</v>
      </c>
      <c r="D37" s="77">
        <f>SUM(D28:D36)</f>
        <v>0</v>
      </c>
      <c r="E37" s="78">
        <f>SUM(E28:E36)</f>
        <v>0</v>
      </c>
    </row>
    <row r="38" spans="1:5" ht="16.5" thickBot="1" x14ac:dyDescent="0.3">
      <c r="A38" s="17"/>
      <c r="B38" s="84"/>
      <c r="C38" s="85"/>
      <c r="D38" s="85"/>
      <c r="E38" s="18"/>
    </row>
    <row r="39" spans="1:5" ht="16.5" thickBot="1" x14ac:dyDescent="0.3">
      <c r="A39" s="149" t="s">
        <v>104</v>
      </c>
      <c r="B39" s="150"/>
      <c r="C39" s="79" t="e">
        <f>E37/D37</f>
        <v>#DIV/0!</v>
      </c>
      <c r="D39" s="86"/>
      <c r="E39" s="10"/>
    </row>
    <row r="40" spans="1:5" ht="16.5" thickBot="1" x14ac:dyDescent="0.3">
      <c r="A40" s="19"/>
      <c r="B40" s="20"/>
      <c r="C40" s="21"/>
      <c r="D40" s="21"/>
      <c r="E40" s="22"/>
    </row>
  </sheetData>
  <mergeCells count="32">
    <mergeCell ref="A10:B10"/>
    <mergeCell ref="A1:E1"/>
    <mergeCell ref="B2:C2"/>
    <mergeCell ref="B3:C3"/>
    <mergeCell ref="A4:E4"/>
    <mergeCell ref="A5:B5"/>
    <mergeCell ref="A6:B6"/>
    <mergeCell ref="A7:B7"/>
    <mergeCell ref="A8:B8"/>
    <mergeCell ref="A9:B9"/>
    <mergeCell ref="A11:B11"/>
    <mergeCell ref="A12:B12"/>
    <mergeCell ref="A13:B13"/>
    <mergeCell ref="A14:B14"/>
    <mergeCell ref="A17:B17"/>
    <mergeCell ref="A21:E21"/>
    <mergeCell ref="B24:C24"/>
    <mergeCell ref="A23:E23"/>
    <mergeCell ref="B25:C25"/>
    <mergeCell ref="A26:E26"/>
    <mergeCell ref="A22:E22"/>
    <mergeCell ref="A27:B27"/>
    <mergeCell ref="A28:B28"/>
    <mergeCell ref="A29:B29"/>
    <mergeCell ref="A30:B30"/>
    <mergeCell ref="A31:B31"/>
    <mergeCell ref="A39:B39"/>
    <mergeCell ref="A32:B32"/>
    <mergeCell ref="A33:B33"/>
    <mergeCell ref="A34:B34"/>
    <mergeCell ref="A35:B35"/>
    <mergeCell ref="A36:B36"/>
  </mergeCells>
  <dataValidations count="1">
    <dataValidation type="list" allowBlank="1" showInputMessage="1" showErrorMessage="1" sqref="B19" xr:uid="{57DA5391-014F-4052-8A6B-7B32C03AF4AA}">
      <formula1>#REF!</formula1>
    </dataValidation>
  </dataValidations>
  <printOptions gridLines="1" gridLinesSet="0"/>
  <pageMargins left="0.7" right="0.7" top="0.75" bottom="0.75" header="0.3" footer="0.3"/>
  <pageSetup orientation="portrait" r:id="rId1"/>
  <headerFooter alignWithMargins="0">
    <oddHeader>&amp;LSaginaw County Public Works Commissioner 
Design Requirements &amp;R&amp;"-,Bold Italic"&amp;12&amp;A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F159A1A-35D2-476C-978A-BAB6FD289062}">
          <x14:formula1>
            <xm:f>Sheet7!$A$2:$A$8</xm:f>
          </x14:formula1>
          <xm:sqref>A36:B36 A28:B34 A6:B12 A14:B14</xm:sqref>
        </x14:dataValidation>
        <x14:dataValidation type="list" allowBlank="1" showInputMessage="1" xr:uid="{A673589C-C8F5-45E7-A670-437197008466}">
          <x14:formula1>
            <xm:f>Sheet7!$A$2:$A$8</xm:f>
          </x14:formula1>
          <xm:sqref>A35:B35 A13:B13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23757-78D2-4DE2-A652-F66885C9C1D3}">
  <dimension ref="A1:E114"/>
  <sheetViews>
    <sheetView zoomScaleNormal="100" workbookViewId="0">
      <selection activeCell="D8" sqref="D8"/>
    </sheetView>
  </sheetViews>
  <sheetFormatPr defaultRowHeight="12.75" x14ac:dyDescent="0.2"/>
  <cols>
    <col min="1" max="1" width="17.85546875" style="7" customWidth="1"/>
    <col min="2" max="2" width="12.28515625" style="7" customWidth="1"/>
    <col min="3" max="3" width="18.85546875" style="7" customWidth="1"/>
    <col min="4" max="4" width="28.7109375" style="9" customWidth="1"/>
    <col min="5" max="5" width="13.7109375" style="7" customWidth="1"/>
    <col min="6" max="16384" width="9.140625" style="7"/>
  </cols>
  <sheetData>
    <row r="1" spans="1:5" x14ac:dyDescent="0.2">
      <c r="A1" s="92" t="s">
        <v>2</v>
      </c>
      <c r="B1" s="166"/>
      <c r="C1" s="166"/>
      <c r="D1" s="6"/>
      <c r="E1" s="6"/>
    </row>
    <row r="2" spans="1:5" x14ac:dyDescent="0.2">
      <c r="A2" s="92" t="s">
        <v>1</v>
      </c>
      <c r="B2" s="167"/>
      <c r="C2" s="167"/>
      <c r="D2" s="6"/>
      <c r="E2" s="6"/>
    </row>
    <row r="3" spans="1:5" x14ac:dyDescent="0.2">
      <c r="A3" s="92" t="s">
        <v>0</v>
      </c>
      <c r="B3" s="168"/>
      <c r="C3" s="168"/>
      <c r="D3" s="6"/>
      <c r="E3" s="6"/>
    </row>
    <row r="4" spans="1:5" x14ac:dyDescent="0.2">
      <c r="A4" s="92"/>
      <c r="B4" s="32"/>
      <c r="C4" s="32"/>
      <c r="D4" s="33"/>
    </row>
    <row r="5" spans="1:5" x14ac:dyDescent="0.2">
      <c r="A5" s="93" t="s">
        <v>22</v>
      </c>
      <c r="B5" s="32"/>
    </row>
    <row r="6" spans="1:5" x14ac:dyDescent="0.2">
      <c r="A6" s="6"/>
      <c r="B6" s="32"/>
      <c r="C6" s="34" t="s">
        <v>83</v>
      </c>
      <c r="D6" s="125"/>
    </row>
    <row r="7" spans="1:5" ht="14.25" x14ac:dyDescent="0.25">
      <c r="C7" s="34" t="s">
        <v>119</v>
      </c>
      <c r="D7" s="35">
        <f>'Runoff Coefficient'!D15</f>
        <v>0</v>
      </c>
      <c r="E7" s="7" t="s">
        <v>29</v>
      </c>
    </row>
    <row r="8" spans="1:5" x14ac:dyDescent="0.2">
      <c r="C8" s="34" t="s">
        <v>84</v>
      </c>
      <c r="D8" s="36" t="e">
        <f>'Runoff Coefficient'!C17</f>
        <v>#DIV/0!</v>
      </c>
    </row>
    <row r="9" spans="1:5" x14ac:dyDescent="0.2">
      <c r="C9" s="34" t="s">
        <v>113</v>
      </c>
      <c r="D9" s="36">
        <v>0.2</v>
      </c>
      <c r="E9" s="7" t="s">
        <v>108</v>
      </c>
    </row>
    <row r="10" spans="1:5" ht="13.5" thickBot="1" x14ac:dyDescent="0.25">
      <c r="C10" s="34"/>
      <c r="D10" s="36"/>
    </row>
    <row r="11" spans="1:5" ht="15" thickBot="1" x14ac:dyDescent="0.3">
      <c r="B11" s="41"/>
      <c r="C11" s="42" t="s">
        <v>114</v>
      </c>
      <c r="D11" s="43">
        <f>D7*D9</f>
        <v>0</v>
      </c>
      <c r="E11" s="44" t="s">
        <v>107</v>
      </c>
    </row>
    <row r="13" spans="1:5" x14ac:dyDescent="0.2">
      <c r="A13" s="93" t="s">
        <v>20</v>
      </c>
      <c r="B13" s="32"/>
    </row>
    <row r="14" spans="1:5" ht="14.25" x14ac:dyDescent="0.25">
      <c r="A14" s="6"/>
      <c r="B14" s="32"/>
      <c r="C14" s="34" t="s">
        <v>119</v>
      </c>
      <c r="D14" s="35">
        <f>D7</f>
        <v>0</v>
      </c>
      <c r="E14" s="7" t="s">
        <v>29</v>
      </c>
    </row>
    <row r="15" spans="1:5" x14ac:dyDescent="0.2">
      <c r="A15" s="6"/>
      <c r="B15" s="32"/>
      <c r="C15" s="34"/>
      <c r="D15" s="32"/>
    </row>
    <row r="16" spans="1:5" x14ac:dyDescent="0.2">
      <c r="A16" s="6"/>
      <c r="B16" s="32"/>
      <c r="C16" s="34" t="s">
        <v>86</v>
      </c>
      <c r="D16" s="9" t="s">
        <v>87</v>
      </c>
    </row>
    <row r="17" spans="1:5" x14ac:dyDescent="0.2">
      <c r="C17" s="34" t="s">
        <v>86</v>
      </c>
      <c r="D17" s="39" t="e">
        <f>+D11/(D14*D8)</f>
        <v>#DIV/0!</v>
      </c>
      <c r="E17" s="7" t="s">
        <v>108</v>
      </c>
    </row>
    <row r="18" spans="1:5" x14ac:dyDescent="0.2">
      <c r="C18" s="34"/>
    </row>
    <row r="19" spans="1:5" ht="15.75" x14ac:dyDescent="0.2">
      <c r="C19" s="34" t="s">
        <v>6</v>
      </c>
      <c r="D19" s="1" t="s">
        <v>19</v>
      </c>
    </row>
    <row r="20" spans="1:5" x14ac:dyDescent="0.2">
      <c r="C20" s="34" t="s">
        <v>6</v>
      </c>
      <c r="D20" s="3" t="e">
        <f>+((6562.5/D17)^0.5)-25</f>
        <v>#DIV/0!</v>
      </c>
      <c r="E20" s="7" t="s">
        <v>109</v>
      </c>
    </row>
    <row r="21" spans="1:5" x14ac:dyDescent="0.2">
      <c r="C21" s="34"/>
    </row>
    <row r="22" spans="1:5" x14ac:dyDescent="0.2">
      <c r="A22" s="32"/>
      <c r="C22" s="34" t="s">
        <v>105</v>
      </c>
      <c r="D22" s="1" t="s">
        <v>18</v>
      </c>
      <c r="E22" s="32"/>
    </row>
    <row r="23" spans="1:5" x14ac:dyDescent="0.2">
      <c r="C23" s="34" t="s">
        <v>105</v>
      </c>
      <c r="D23" s="2" t="e">
        <f>+((10500*D20)/(D20+25))-(40*D17*D20)</f>
        <v>#DIV/0!</v>
      </c>
      <c r="E23" s="7" t="s">
        <v>108</v>
      </c>
    </row>
    <row r="24" spans="1:5" x14ac:dyDescent="0.2">
      <c r="B24" s="32"/>
      <c r="C24" s="32"/>
      <c r="E24" s="45"/>
    </row>
    <row r="25" spans="1:5" ht="13.5" thickBot="1" x14ac:dyDescent="0.25">
      <c r="A25" s="32"/>
      <c r="C25" s="34" t="s">
        <v>5</v>
      </c>
      <c r="D25" s="9" t="s">
        <v>4</v>
      </c>
      <c r="E25" s="32"/>
    </row>
    <row r="26" spans="1:5" ht="13.5" thickBot="1" x14ac:dyDescent="0.25">
      <c r="A26" s="41"/>
      <c r="B26" s="46"/>
      <c r="C26" s="42" t="s">
        <v>5</v>
      </c>
      <c r="D26" s="47" t="e">
        <f>+D23*D14*D8</f>
        <v>#DIV/0!</v>
      </c>
      <c r="E26" s="44" t="s">
        <v>123</v>
      </c>
    </row>
    <row r="27" spans="1:5" x14ac:dyDescent="0.2">
      <c r="D27" s="48"/>
    </row>
    <row r="28" spans="1:5" x14ac:dyDescent="0.2">
      <c r="A28" s="93" t="s">
        <v>95</v>
      </c>
    </row>
    <row r="29" spans="1:5" x14ac:dyDescent="0.2">
      <c r="C29" s="34" t="s">
        <v>14</v>
      </c>
      <c r="D29" s="125"/>
      <c r="E29" s="7" t="s">
        <v>110</v>
      </c>
    </row>
    <row r="30" spans="1:5" x14ac:dyDescent="0.2">
      <c r="C30" s="34" t="s">
        <v>13</v>
      </c>
    </row>
    <row r="31" spans="1:5" ht="15.75" x14ac:dyDescent="0.2">
      <c r="C31" s="34" t="s">
        <v>16</v>
      </c>
      <c r="D31" s="9" t="s">
        <v>17</v>
      </c>
    </row>
    <row r="32" spans="1:5" x14ac:dyDescent="0.2">
      <c r="C32" s="34" t="s">
        <v>16</v>
      </c>
      <c r="D32" s="56" t="e">
        <f>+D11/(0.62*((64.4*D29)^0.5))</f>
        <v>#DIV/0!</v>
      </c>
      <c r="E32" s="7" t="s">
        <v>111</v>
      </c>
    </row>
    <row r="33" spans="1:5" ht="14.25" hidden="1" x14ac:dyDescent="0.25">
      <c r="B33" s="66" t="s">
        <v>96</v>
      </c>
      <c r="C33" s="66"/>
      <c r="D33" s="67" t="s">
        <v>97</v>
      </c>
      <c r="E33" s="65" t="s">
        <v>98</v>
      </c>
    </row>
    <row r="34" spans="1:5" hidden="1" x14ac:dyDescent="0.2">
      <c r="B34" s="34"/>
      <c r="C34" s="34"/>
      <c r="D34" s="64" t="e">
        <f>D104/D32</f>
        <v>#DIV/0!</v>
      </c>
      <c r="E34" s="65" t="s">
        <v>98</v>
      </c>
    </row>
    <row r="35" spans="1:5" hidden="1" x14ac:dyDescent="0.2">
      <c r="B35" s="34"/>
      <c r="C35" s="34"/>
      <c r="D35" s="64" t="e">
        <f>IF(D34&lt;1,1,D104/D32)</f>
        <v>#DIV/0!</v>
      </c>
      <c r="E35" s="65"/>
    </row>
    <row r="36" spans="1:5" x14ac:dyDescent="0.2">
      <c r="C36" s="34" t="s">
        <v>106</v>
      </c>
      <c r="D36" s="37" t="e">
        <f>+((4*(D32*144))/3.14159)^0.5</f>
        <v>#DIV/0!</v>
      </c>
      <c r="E36" s="7" t="s">
        <v>112</v>
      </c>
    </row>
    <row r="38" spans="1:5" x14ac:dyDescent="0.2">
      <c r="A38" s="93" t="s">
        <v>99</v>
      </c>
    </row>
    <row r="39" spans="1:5" x14ac:dyDescent="0.2">
      <c r="C39" s="34" t="s">
        <v>147</v>
      </c>
      <c r="D39" s="125"/>
      <c r="E39" s="7" t="s">
        <v>112</v>
      </c>
    </row>
    <row r="40" spans="1:5" x14ac:dyDescent="0.2">
      <c r="C40" s="34" t="s">
        <v>15</v>
      </c>
      <c r="D40" s="57">
        <f>+(3.14159/4)*(D39/12)^2</f>
        <v>0</v>
      </c>
      <c r="E40" s="7" t="s">
        <v>111</v>
      </c>
    </row>
    <row r="41" spans="1:5" x14ac:dyDescent="0.2">
      <c r="C41" s="34" t="s">
        <v>14</v>
      </c>
      <c r="D41" s="58">
        <f>D29</f>
        <v>0</v>
      </c>
      <c r="E41" s="7" t="s">
        <v>110</v>
      </c>
    </row>
    <row r="42" spans="1:5" x14ac:dyDescent="0.2">
      <c r="C42" s="34" t="s">
        <v>13</v>
      </c>
    </row>
    <row r="43" spans="1:5" ht="14.25" hidden="1" x14ac:dyDescent="0.25">
      <c r="B43" s="66" t="s">
        <v>96</v>
      </c>
      <c r="C43" s="66"/>
      <c r="D43" s="67" t="s">
        <v>97</v>
      </c>
      <c r="E43" s="65" t="s">
        <v>98</v>
      </c>
    </row>
    <row r="44" spans="1:5" hidden="1" x14ac:dyDescent="0.2">
      <c r="B44" s="34"/>
      <c r="C44" s="34"/>
      <c r="D44" s="64" t="e">
        <f>D104/D40</f>
        <v>#DIV/0!</v>
      </c>
      <c r="E44" s="65" t="s">
        <v>98</v>
      </c>
    </row>
    <row r="45" spans="1:5" hidden="1" x14ac:dyDescent="0.2">
      <c r="B45" s="34"/>
      <c r="C45" s="34"/>
      <c r="D45" s="64"/>
      <c r="E45" s="65"/>
    </row>
    <row r="46" spans="1:5" ht="15.75" x14ac:dyDescent="0.2">
      <c r="C46" s="34" t="s">
        <v>8</v>
      </c>
      <c r="D46" s="9" t="s">
        <v>122</v>
      </c>
      <c r="E46" s="32"/>
    </row>
    <row r="47" spans="1:5" x14ac:dyDescent="0.2">
      <c r="C47" s="34" t="s">
        <v>8</v>
      </c>
      <c r="D47" s="37">
        <f>0.62*D40*((2*32.2*D41)^0.5)</f>
        <v>0</v>
      </c>
      <c r="E47" s="7" t="s">
        <v>107</v>
      </c>
    </row>
    <row r="48" spans="1:5" x14ac:dyDescent="0.2">
      <c r="C48" s="34"/>
      <c r="D48" s="39"/>
    </row>
    <row r="49" spans="1:5" x14ac:dyDescent="0.2">
      <c r="A49" s="93" t="s">
        <v>100</v>
      </c>
      <c r="C49" s="34"/>
      <c r="D49" s="39"/>
    </row>
    <row r="50" spans="1:5" x14ac:dyDescent="0.2">
      <c r="A50" s="121" t="s">
        <v>192</v>
      </c>
      <c r="C50" s="34"/>
      <c r="D50" s="39"/>
    </row>
    <row r="51" spans="1:5" x14ac:dyDescent="0.2">
      <c r="C51" s="34" t="s">
        <v>12</v>
      </c>
      <c r="D51" s="126"/>
      <c r="E51" s="7" t="s">
        <v>112</v>
      </c>
    </row>
    <row r="52" spans="1:5" x14ac:dyDescent="0.2">
      <c r="C52" s="34" t="s">
        <v>12</v>
      </c>
      <c r="D52" s="36">
        <f>+D51/12</f>
        <v>0</v>
      </c>
      <c r="E52" s="7" t="s">
        <v>110</v>
      </c>
    </row>
    <row r="53" spans="1:5" x14ac:dyDescent="0.2">
      <c r="C53" s="34"/>
      <c r="D53" s="36"/>
    </row>
    <row r="54" spans="1:5" x14ac:dyDescent="0.2">
      <c r="C54" s="34" t="s">
        <v>11</v>
      </c>
      <c r="D54" s="127"/>
    </row>
    <row r="55" spans="1:5" x14ac:dyDescent="0.2">
      <c r="C55" s="34" t="s">
        <v>139</v>
      </c>
      <c r="D55" s="128"/>
      <c r="E55" s="7" t="s">
        <v>10</v>
      </c>
    </row>
    <row r="56" spans="1:5" x14ac:dyDescent="0.2">
      <c r="C56" s="34"/>
      <c r="D56" s="59"/>
    </row>
    <row r="57" spans="1:5" ht="15.75" x14ac:dyDescent="0.2">
      <c r="C57" s="34" t="s">
        <v>8</v>
      </c>
      <c r="D57" s="40" t="s">
        <v>9</v>
      </c>
    </row>
    <row r="58" spans="1:5" x14ac:dyDescent="0.2">
      <c r="C58" s="34" t="s">
        <v>8</v>
      </c>
      <c r="D58" s="37" t="e">
        <f>+(0.7854*(D52^2))*(1.486/D54)*((D52/4)^0.667)*(D55^0.5)</f>
        <v>#DIV/0!</v>
      </c>
      <c r="E58" s="7" t="s">
        <v>107</v>
      </c>
    </row>
    <row r="60" spans="1:5" x14ac:dyDescent="0.2">
      <c r="A60" s="93" t="s">
        <v>101</v>
      </c>
    </row>
    <row r="61" spans="1:5" x14ac:dyDescent="0.2">
      <c r="A61" s="6"/>
      <c r="B61" s="32"/>
      <c r="C61" s="34" t="s">
        <v>116</v>
      </c>
      <c r="D61" s="125"/>
      <c r="E61" s="7" t="s">
        <v>107</v>
      </c>
    </row>
    <row r="62" spans="1:5" ht="14.25" x14ac:dyDescent="0.25">
      <c r="A62" s="6"/>
      <c r="B62" s="32"/>
      <c r="C62" s="34" t="s">
        <v>119</v>
      </c>
      <c r="D62" s="35">
        <f>D7</f>
        <v>0</v>
      </c>
      <c r="E62" s="7" t="s">
        <v>29</v>
      </c>
    </row>
    <row r="63" spans="1:5" x14ac:dyDescent="0.2">
      <c r="A63" s="6"/>
      <c r="B63" s="32"/>
      <c r="C63" s="34"/>
    </row>
    <row r="64" spans="1:5" x14ac:dyDescent="0.2">
      <c r="A64" s="6"/>
      <c r="B64" s="32"/>
      <c r="C64" s="34" t="s">
        <v>102</v>
      </c>
      <c r="D64" s="1" t="s">
        <v>7</v>
      </c>
    </row>
    <row r="65" spans="1:5" x14ac:dyDescent="0.2">
      <c r="C65" s="34" t="s">
        <v>102</v>
      </c>
      <c r="D65" s="4" t="e">
        <f>+D61/(D62*D8)</f>
        <v>#DIV/0!</v>
      </c>
      <c r="E65" s="7" t="s">
        <v>125</v>
      </c>
    </row>
    <row r="66" spans="1:5" x14ac:dyDescent="0.2">
      <c r="C66" s="34"/>
    </row>
    <row r="67" spans="1:5" ht="15.75" x14ac:dyDescent="0.2">
      <c r="C67" s="34" t="s">
        <v>6</v>
      </c>
      <c r="D67" s="1" t="s">
        <v>19</v>
      </c>
    </row>
    <row r="68" spans="1:5" x14ac:dyDescent="0.2">
      <c r="C68" s="34" t="s">
        <v>6</v>
      </c>
      <c r="D68" s="3" t="e">
        <f>+((6562.5/D65)^0.5)-25</f>
        <v>#DIV/0!</v>
      </c>
      <c r="E68" s="7" t="s">
        <v>109</v>
      </c>
    </row>
    <row r="69" spans="1:5" x14ac:dyDescent="0.2">
      <c r="C69" s="34"/>
    </row>
    <row r="70" spans="1:5" x14ac:dyDescent="0.2">
      <c r="A70" s="32"/>
      <c r="C70" s="34" t="s">
        <v>88</v>
      </c>
      <c r="D70" s="1" t="s">
        <v>18</v>
      </c>
      <c r="E70" s="32"/>
    </row>
    <row r="71" spans="1:5" x14ac:dyDescent="0.2">
      <c r="C71" s="34" t="s">
        <v>88</v>
      </c>
      <c r="D71" s="2" t="e">
        <f>+((10500*D68)/(D68+25))-(40*D65*D68)</f>
        <v>#DIV/0!</v>
      </c>
      <c r="E71" s="7" t="s">
        <v>125</v>
      </c>
    </row>
    <row r="72" spans="1:5" ht="13.5" thickBot="1" x14ac:dyDescent="0.25">
      <c r="B72" s="32"/>
      <c r="C72" s="32"/>
      <c r="E72" s="45"/>
    </row>
    <row r="73" spans="1:5" x14ac:dyDescent="0.2">
      <c r="A73" s="108"/>
      <c r="B73" s="109"/>
      <c r="C73" s="110" t="s">
        <v>5</v>
      </c>
      <c r="D73" s="111" t="s">
        <v>4</v>
      </c>
      <c r="E73" s="112"/>
    </row>
    <row r="74" spans="1:5" ht="13.5" thickBot="1" x14ac:dyDescent="0.25">
      <c r="A74" s="113"/>
      <c r="B74" s="114"/>
      <c r="C74" s="115" t="s">
        <v>3</v>
      </c>
      <c r="D74" s="116" t="e">
        <f>+D71*D62*D8</f>
        <v>#DIV/0!</v>
      </c>
      <c r="E74" s="117" t="s">
        <v>123</v>
      </c>
    </row>
    <row r="75" spans="1:5" x14ac:dyDescent="0.2">
      <c r="C75" s="34"/>
      <c r="D75" s="48"/>
    </row>
    <row r="76" spans="1:5" x14ac:dyDescent="0.2">
      <c r="C76" s="34" t="s">
        <v>148</v>
      </c>
      <c r="D76" s="129"/>
      <c r="E76" s="7" t="s">
        <v>123</v>
      </c>
    </row>
    <row r="77" spans="1:5" x14ac:dyDescent="0.2">
      <c r="D77" s="7"/>
    </row>
    <row r="78" spans="1:5" x14ac:dyDescent="0.2">
      <c r="A78" s="93" t="s">
        <v>115</v>
      </c>
      <c r="D78" s="7"/>
    </row>
    <row r="79" spans="1:5" x14ac:dyDescent="0.2">
      <c r="C79" s="34" t="s">
        <v>84</v>
      </c>
      <c r="D79" s="87" t="e">
        <f>D8</f>
        <v>#DIV/0!</v>
      </c>
    </row>
    <row r="80" spans="1:5" ht="14.25" x14ac:dyDescent="0.25">
      <c r="C80" s="34" t="s">
        <v>118</v>
      </c>
      <c r="D80" s="130"/>
      <c r="E80" s="7" t="s">
        <v>117</v>
      </c>
    </row>
    <row r="81" spans="1:5" ht="14.25" x14ac:dyDescent="0.25">
      <c r="C81" s="34" t="s">
        <v>119</v>
      </c>
      <c r="D81" s="87">
        <f>D7</f>
        <v>0</v>
      </c>
      <c r="E81" s="7" t="s">
        <v>29</v>
      </c>
    </row>
    <row r="82" spans="1:5" x14ac:dyDescent="0.2">
      <c r="D82" s="88"/>
    </row>
    <row r="83" spans="1:5" ht="14.25" x14ac:dyDescent="0.2">
      <c r="C83" s="34" t="s">
        <v>120</v>
      </c>
      <c r="D83" s="88" t="s">
        <v>121</v>
      </c>
    </row>
    <row r="84" spans="1:5" x14ac:dyDescent="0.2">
      <c r="C84" s="34" t="s">
        <v>120</v>
      </c>
      <c r="D84" s="118" t="e">
        <f>D79*D80*D81</f>
        <v>#DIV/0!</v>
      </c>
      <c r="E84" s="7" t="s">
        <v>107</v>
      </c>
    </row>
    <row r="85" spans="1:5" x14ac:dyDescent="0.2">
      <c r="C85" s="34"/>
      <c r="D85" s="7"/>
    </row>
    <row r="86" spans="1:5" x14ac:dyDescent="0.2">
      <c r="D86" s="7"/>
    </row>
    <row r="87" spans="1:5" x14ac:dyDescent="0.2">
      <c r="A87" s="93" t="s">
        <v>172</v>
      </c>
      <c r="D87" s="48"/>
    </row>
    <row r="88" spans="1:5" ht="15" thickBot="1" x14ac:dyDescent="0.3">
      <c r="C88" s="34" t="s">
        <v>138</v>
      </c>
      <c r="D88" s="49" t="s">
        <v>89</v>
      </c>
    </row>
    <row r="89" spans="1:5" ht="15" thickBot="1" x14ac:dyDescent="0.3">
      <c r="C89" s="50" t="s">
        <v>138</v>
      </c>
      <c r="D89" s="47" t="e">
        <f>3630*D7*D8</f>
        <v>#DIV/0!</v>
      </c>
      <c r="E89" s="44" t="s">
        <v>123</v>
      </c>
    </row>
    <row r="90" spans="1:5" x14ac:dyDescent="0.2">
      <c r="C90" s="34"/>
      <c r="D90" s="48"/>
    </row>
    <row r="91" spans="1:5" x14ac:dyDescent="0.2">
      <c r="A91" s="93" t="s">
        <v>129</v>
      </c>
      <c r="C91" s="34"/>
      <c r="D91" s="48"/>
    </row>
    <row r="92" spans="1:5" x14ac:dyDescent="0.2">
      <c r="A92" s="7" t="s">
        <v>90</v>
      </c>
      <c r="C92" s="34"/>
      <c r="D92" s="48"/>
    </row>
    <row r="93" spans="1:5" ht="14.25" x14ac:dyDescent="0.25">
      <c r="A93" s="34" t="s">
        <v>91</v>
      </c>
      <c r="B93" s="131"/>
      <c r="C93" s="34" t="s">
        <v>178</v>
      </c>
      <c r="D93" s="49" t="s">
        <v>136</v>
      </c>
    </row>
    <row r="94" spans="1:5" ht="14.25" x14ac:dyDescent="0.25">
      <c r="C94" s="34" t="s">
        <v>177</v>
      </c>
      <c r="D94" s="51" t="e">
        <f>D89/(B93*3600)</f>
        <v>#DIV/0!</v>
      </c>
      <c r="E94" s="7" t="s">
        <v>107</v>
      </c>
    </row>
    <row r="95" spans="1:5" x14ac:dyDescent="0.2">
      <c r="A95" s="94" t="s">
        <v>94</v>
      </c>
      <c r="C95" s="34"/>
      <c r="D95" s="48"/>
    </row>
    <row r="96" spans="1:5" x14ac:dyDescent="0.2">
      <c r="A96" s="94"/>
      <c r="C96" s="34"/>
      <c r="D96" s="48"/>
    </row>
    <row r="97" spans="1:5" x14ac:dyDescent="0.2">
      <c r="A97" s="93" t="s">
        <v>130</v>
      </c>
    </row>
    <row r="98" spans="1:5" ht="14.25" x14ac:dyDescent="0.25">
      <c r="C98" s="34" t="s">
        <v>131</v>
      </c>
      <c r="D98" s="7" t="s">
        <v>132</v>
      </c>
    </row>
    <row r="99" spans="1:5" ht="12.75" customHeight="1" x14ac:dyDescent="0.2">
      <c r="C99" s="34" t="s">
        <v>133</v>
      </c>
      <c r="D99" s="132"/>
      <c r="E99" s="38" t="s">
        <v>110</v>
      </c>
    </row>
    <row r="100" spans="1:5" x14ac:dyDescent="0.2">
      <c r="C100" s="34" t="s">
        <v>134</v>
      </c>
      <c r="D100" s="132"/>
      <c r="E100" s="38" t="s">
        <v>110</v>
      </c>
    </row>
    <row r="101" spans="1:5" ht="14.25" x14ac:dyDescent="0.25">
      <c r="C101" s="54" t="s">
        <v>92</v>
      </c>
      <c r="D101" s="37">
        <f>0.667*(D99-D100)</f>
        <v>0</v>
      </c>
      <c r="E101" s="38" t="s">
        <v>110</v>
      </c>
    </row>
    <row r="102" spans="1:5" x14ac:dyDescent="0.2">
      <c r="B102" s="14"/>
    </row>
    <row r="103" spans="1:5" ht="16.5" x14ac:dyDescent="0.25">
      <c r="C103" s="34" t="s">
        <v>190</v>
      </c>
      <c r="D103" s="49" t="s">
        <v>150</v>
      </c>
    </row>
    <row r="104" spans="1:5" ht="14.25" x14ac:dyDescent="0.25">
      <c r="C104" s="34" t="s">
        <v>190</v>
      </c>
      <c r="D104" s="51" t="e">
        <f>D94/((0.62)*(64.4*D101)^0.5)</f>
        <v>#DIV/0!</v>
      </c>
      <c r="E104" s="7" t="s">
        <v>111</v>
      </c>
    </row>
    <row r="105" spans="1:5" ht="13.5" thickBot="1" x14ac:dyDescent="0.25">
      <c r="C105" s="34" t="s">
        <v>135</v>
      </c>
      <c r="D105" s="52" t="e">
        <f>SQRT(D104*144*4/PI())</f>
        <v>#DIV/0!</v>
      </c>
      <c r="E105" s="89" t="s">
        <v>112</v>
      </c>
    </row>
    <row r="106" spans="1:5" ht="13.5" thickBot="1" x14ac:dyDescent="0.25">
      <c r="B106" s="41"/>
      <c r="C106" s="42" t="s">
        <v>137</v>
      </c>
      <c r="D106" s="133"/>
      <c r="E106" s="95" t="s">
        <v>112</v>
      </c>
    </row>
    <row r="107" spans="1:5" x14ac:dyDescent="0.2">
      <c r="D107" s="53" t="e">
        <f>IF(D105&lt;=2, "Minimum diameter of 2 inches", "Round to the Nearest 1/8 inch")</f>
        <v>#DIV/0!</v>
      </c>
      <c r="E107" s="72"/>
    </row>
    <row r="108" spans="1:5" x14ac:dyDescent="0.2">
      <c r="D108" s="48"/>
    </row>
    <row r="109" spans="1:5" ht="14.25" x14ac:dyDescent="0.25">
      <c r="C109" s="70" t="s">
        <v>151</v>
      </c>
      <c r="D109" s="69">
        <f>(PI()*(D106/2/12)^2*((0.62)*(64.4*D101)^0.5))</f>
        <v>0</v>
      </c>
      <c r="E109" s="68" t="s">
        <v>107</v>
      </c>
    </row>
    <row r="110" spans="1:5" x14ac:dyDescent="0.2">
      <c r="C110" s="54" t="s">
        <v>93</v>
      </c>
      <c r="D110" s="55" t="e">
        <f>(D89/D109)/3600</f>
        <v>#DIV/0!</v>
      </c>
      <c r="E110" s="7" t="s">
        <v>124</v>
      </c>
    </row>
    <row r="112" spans="1:5" ht="12.75" customHeight="1" x14ac:dyDescent="0.2">
      <c r="A112" s="169" t="s">
        <v>202</v>
      </c>
      <c r="B112" s="169"/>
      <c r="C112" s="169"/>
      <c r="D112" s="169"/>
      <c r="E112" s="169"/>
    </row>
    <row r="113" spans="1:5" x14ac:dyDescent="0.2">
      <c r="A113" s="169"/>
      <c r="B113" s="169"/>
      <c r="C113" s="169"/>
      <c r="D113" s="169"/>
      <c r="E113" s="169"/>
    </row>
    <row r="114" spans="1:5" x14ac:dyDescent="0.2">
      <c r="A114" s="169"/>
      <c r="B114" s="169"/>
      <c r="C114" s="169"/>
      <c r="D114" s="169"/>
      <c r="E114" s="169"/>
    </row>
  </sheetData>
  <mergeCells count="4">
    <mergeCell ref="B1:C1"/>
    <mergeCell ref="B2:C2"/>
    <mergeCell ref="B3:C3"/>
    <mergeCell ref="A112:E114"/>
  </mergeCells>
  <conditionalFormatting sqref="D107">
    <cfRule type="containsText" dxfId="2" priority="2" operator="containsText" text="Min">
      <formula>NOT(ISERROR(SEARCH("Min",D107)))</formula>
    </cfRule>
  </conditionalFormatting>
  <dataValidations count="3">
    <dataValidation type="list" allowBlank="1" showInputMessage="1" showErrorMessage="1" sqref="D54" xr:uid="{23DD39DB-510E-4981-9EEC-63A82D259964}">
      <formula1>"0.009,0.012,0.025"</formula1>
    </dataValidation>
    <dataValidation type="list" allowBlank="1" showInputMessage="1" showErrorMessage="1" sqref="D51" xr:uid="{C85436DB-6BCC-42CA-BCCC-EB7A317D9B45}">
      <formula1>"4,6,8,10,12,15,18,21,24"</formula1>
    </dataValidation>
    <dataValidation type="list" allowBlank="1" showInputMessage="1" showErrorMessage="1" sqref="B93" xr:uid="{DE9340D3-4405-4DA8-98C6-177ED75CA683}">
      <formula1>"18,19,20,21,22,23,24"</formula1>
    </dataValidation>
  </dataValidations>
  <pageMargins left="0.7" right="0.7" top="0.75" bottom="0.75" header="0.3" footer="0.3"/>
  <pageSetup orientation="portrait" r:id="rId1"/>
  <headerFooter>
    <oddHeader>&amp;LSaginaw County Public Works Commissioner 
Design Requirements &amp;R&amp;"-,Bold Italic"&amp;12&amp;A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8482-F1B1-4E44-8899-9A2DB0ADA159}">
  <dimension ref="A1:L137"/>
  <sheetViews>
    <sheetView view="pageLayout" zoomScaleNormal="100" zoomScaleSheetLayoutView="80" workbookViewId="0">
      <selection activeCell="D10" sqref="D10"/>
    </sheetView>
  </sheetViews>
  <sheetFormatPr defaultRowHeight="12.75" x14ac:dyDescent="0.2"/>
  <cols>
    <col min="1" max="1" width="17.7109375" style="7" customWidth="1"/>
    <col min="2" max="2" width="12.28515625" style="7" customWidth="1"/>
    <col min="3" max="3" width="18.85546875" style="7" customWidth="1"/>
    <col min="4" max="4" width="28.7109375" style="9" customWidth="1"/>
    <col min="5" max="5" width="13.7109375" style="7" customWidth="1"/>
    <col min="6" max="6" width="8.140625" style="7" customWidth="1"/>
    <col min="7" max="16384" width="9.140625" style="7"/>
  </cols>
  <sheetData>
    <row r="1" spans="1:5" x14ac:dyDescent="0.2">
      <c r="A1" s="92" t="s">
        <v>2</v>
      </c>
      <c r="B1" s="166"/>
      <c r="C1" s="166"/>
      <c r="D1" s="6"/>
      <c r="E1" s="6"/>
    </row>
    <row r="2" spans="1:5" x14ac:dyDescent="0.2">
      <c r="A2" s="92" t="s">
        <v>1</v>
      </c>
      <c r="B2" s="167"/>
      <c r="C2" s="167"/>
      <c r="D2" s="6"/>
      <c r="E2" s="6"/>
    </row>
    <row r="3" spans="1:5" x14ac:dyDescent="0.2">
      <c r="A3" s="92" t="s">
        <v>0</v>
      </c>
      <c r="B3" s="168"/>
      <c r="C3" s="168"/>
      <c r="D3" s="6"/>
      <c r="E3" s="6"/>
    </row>
    <row r="4" spans="1:5" x14ac:dyDescent="0.2">
      <c r="A4" s="92"/>
      <c r="B4" s="69"/>
      <c r="C4" s="69"/>
      <c r="D4" s="6"/>
      <c r="E4" s="6"/>
    </row>
    <row r="5" spans="1:5" ht="15.75" customHeight="1" x14ac:dyDescent="0.2">
      <c r="A5" s="171" t="s">
        <v>169</v>
      </c>
      <c r="B5" s="171"/>
      <c r="C5" s="171"/>
      <c r="D5" s="171"/>
      <c r="E5" s="171"/>
    </row>
    <row r="6" spans="1:5" ht="15" customHeight="1" x14ac:dyDescent="0.2">
      <c r="A6" s="171"/>
      <c r="B6" s="171"/>
      <c r="C6" s="171"/>
      <c r="D6" s="171"/>
      <c r="E6" s="171"/>
    </row>
    <row r="7" spans="1:5" ht="15.75" x14ac:dyDescent="0.25">
      <c r="A7" s="119"/>
      <c r="B7" s="119"/>
      <c r="C7" s="119"/>
      <c r="D7" s="119"/>
      <c r="E7" s="119"/>
    </row>
    <row r="8" spans="1:5" x14ac:dyDescent="0.2">
      <c r="A8" s="93" t="s">
        <v>22</v>
      </c>
      <c r="B8" s="32"/>
    </row>
    <row r="9" spans="1:5" x14ac:dyDescent="0.2">
      <c r="A9" s="6"/>
      <c r="B9" s="32"/>
      <c r="C9" s="34" t="s">
        <v>83</v>
      </c>
      <c r="D9" s="125"/>
    </row>
    <row r="10" spans="1:5" ht="14.25" x14ac:dyDescent="0.25">
      <c r="C10" s="34" t="s">
        <v>119</v>
      </c>
      <c r="D10" s="35">
        <f>'Runoff Coefficient'!D15</f>
        <v>0</v>
      </c>
      <c r="E10" s="7" t="s">
        <v>29</v>
      </c>
    </row>
    <row r="11" spans="1:5" x14ac:dyDescent="0.2">
      <c r="C11" s="34" t="s">
        <v>21</v>
      </c>
      <c r="D11" s="128">
        <v>0</v>
      </c>
      <c r="E11" s="5" t="s">
        <v>10</v>
      </c>
    </row>
    <row r="12" spans="1:5" x14ac:dyDescent="0.2">
      <c r="C12" s="34" t="s">
        <v>84</v>
      </c>
      <c r="D12" s="36" t="e">
        <f>'Runoff Coefficient'!C17</f>
        <v>#DIV/0!</v>
      </c>
    </row>
    <row r="13" spans="1:5" x14ac:dyDescent="0.2">
      <c r="C13" s="34" t="s">
        <v>85</v>
      </c>
      <c r="D13" s="137"/>
      <c r="E13" s="7" t="s">
        <v>110</v>
      </c>
    </row>
    <row r="14" spans="1:5" x14ac:dyDescent="0.2">
      <c r="C14" s="34"/>
      <c r="D14" s="36"/>
    </row>
    <row r="15" spans="1:5" x14ac:dyDescent="0.2">
      <c r="C15" s="34" t="s">
        <v>153</v>
      </c>
      <c r="D15" s="36" t="s">
        <v>154</v>
      </c>
    </row>
    <row r="16" spans="1:5" x14ac:dyDescent="0.2">
      <c r="C16" s="34" t="s">
        <v>153</v>
      </c>
      <c r="D16" s="36">
        <f>(D13/(2*60))+15</f>
        <v>15</v>
      </c>
      <c r="E16" s="7" t="s">
        <v>109</v>
      </c>
    </row>
    <row r="17" spans="3:5" x14ac:dyDescent="0.2">
      <c r="C17" s="34"/>
    </row>
    <row r="18" spans="3:5" x14ac:dyDescent="0.2">
      <c r="C18" s="34" t="s">
        <v>155</v>
      </c>
      <c r="D18" s="37">
        <f>+(1-D11)*D10</f>
        <v>0</v>
      </c>
      <c r="E18" s="7" t="s">
        <v>29</v>
      </c>
    </row>
    <row r="19" spans="3:5" x14ac:dyDescent="0.2">
      <c r="C19" s="34" t="s">
        <v>156</v>
      </c>
      <c r="D19" s="37">
        <f>+D10*D11</f>
        <v>0</v>
      </c>
      <c r="E19" s="7" t="s">
        <v>29</v>
      </c>
    </row>
    <row r="21" spans="3:5" x14ac:dyDescent="0.2">
      <c r="C21" s="97" t="s">
        <v>157</v>
      </c>
      <c r="D21" s="1" t="s">
        <v>158</v>
      </c>
      <c r="E21" s="101" t="s">
        <v>159</v>
      </c>
    </row>
    <row r="22" spans="3:5" x14ac:dyDescent="0.2">
      <c r="C22" s="97" t="s">
        <v>157</v>
      </c>
      <c r="D22" s="1" t="s">
        <v>160</v>
      </c>
      <c r="E22" s="96" t="s">
        <v>161</v>
      </c>
    </row>
    <row r="23" spans="3:5" x14ac:dyDescent="0.2">
      <c r="C23" s="97" t="s">
        <v>157</v>
      </c>
      <c r="D23" s="98">
        <f>IF(D16&gt;30,175/(25+D16),136/(20+D16))</f>
        <v>3.8857142857142857</v>
      </c>
      <c r="E23" s="96" t="s">
        <v>162</v>
      </c>
    </row>
    <row r="25" spans="3:5" x14ac:dyDescent="0.2">
      <c r="C25" s="97" t="s">
        <v>163</v>
      </c>
      <c r="D25" s="1">
        <v>0.1</v>
      </c>
      <c r="E25" s="101" t="s">
        <v>159</v>
      </c>
    </row>
    <row r="26" spans="3:5" x14ac:dyDescent="0.2">
      <c r="C26" s="97" t="s">
        <v>163</v>
      </c>
      <c r="D26" s="1" t="s">
        <v>164</v>
      </c>
      <c r="E26" s="96" t="s">
        <v>161</v>
      </c>
    </row>
    <row r="27" spans="3:5" x14ac:dyDescent="0.2">
      <c r="C27" s="97" t="s">
        <v>163</v>
      </c>
      <c r="D27" s="4">
        <f>IF(D16&gt;30,D25,D16/(80+4*D16))</f>
        <v>0.10714285714285714</v>
      </c>
      <c r="E27" s="96"/>
    </row>
    <row r="28" spans="3:5" x14ac:dyDescent="0.2">
      <c r="C28" s="96"/>
      <c r="D28" s="1"/>
      <c r="E28" s="96"/>
    </row>
    <row r="29" spans="3:5" x14ac:dyDescent="0.2">
      <c r="C29" s="97" t="s">
        <v>165</v>
      </c>
      <c r="D29" s="1">
        <v>0.7</v>
      </c>
      <c r="E29" s="101" t="s">
        <v>159</v>
      </c>
    </row>
    <row r="30" spans="3:5" x14ac:dyDescent="0.2">
      <c r="C30" s="97" t="s">
        <v>165</v>
      </c>
      <c r="D30" s="1" t="s">
        <v>166</v>
      </c>
      <c r="E30" s="96" t="s">
        <v>161</v>
      </c>
    </row>
    <row r="31" spans="3:5" x14ac:dyDescent="0.2">
      <c r="C31" s="97" t="s">
        <v>165</v>
      </c>
      <c r="D31" s="4">
        <f>IF(D16&gt;30,D29,D16/(8+D16))</f>
        <v>0.65217391304347827</v>
      </c>
      <c r="E31" s="96"/>
    </row>
    <row r="32" spans="3:5" x14ac:dyDescent="0.2">
      <c r="D32" s="39"/>
    </row>
    <row r="33" spans="1:5" ht="13.5" thickBot="1" x14ac:dyDescent="0.25">
      <c r="A33" s="32"/>
      <c r="C33" s="34" t="s">
        <v>167</v>
      </c>
      <c r="D33" s="40" t="s">
        <v>168</v>
      </c>
    </row>
    <row r="34" spans="1:5" ht="13.5" thickBot="1" x14ac:dyDescent="0.25">
      <c r="B34" s="41"/>
      <c r="C34" s="42" t="s">
        <v>167</v>
      </c>
      <c r="D34" s="43">
        <f>+(D31*D23*D19)+(D27*D23*D18)</f>
        <v>0</v>
      </c>
      <c r="E34" s="44" t="s">
        <v>107</v>
      </c>
    </row>
    <row r="36" spans="1:5" x14ac:dyDescent="0.2">
      <c r="A36" s="93" t="s">
        <v>20</v>
      </c>
      <c r="B36" s="32"/>
    </row>
    <row r="37" spans="1:5" ht="14.25" x14ac:dyDescent="0.25">
      <c r="A37" s="6"/>
      <c r="B37" s="32"/>
      <c r="C37" s="34" t="s">
        <v>119</v>
      </c>
      <c r="D37" s="35">
        <f>D10</f>
        <v>0</v>
      </c>
      <c r="E37" s="7" t="s">
        <v>29</v>
      </c>
    </row>
    <row r="38" spans="1:5" x14ac:dyDescent="0.2">
      <c r="A38" s="6"/>
      <c r="B38" s="32"/>
      <c r="C38" s="34"/>
      <c r="D38" s="32"/>
    </row>
    <row r="39" spans="1:5" x14ac:dyDescent="0.2">
      <c r="A39" s="6"/>
      <c r="B39" s="32"/>
      <c r="C39" s="34" t="s">
        <v>86</v>
      </c>
      <c r="D39" s="9" t="s">
        <v>87</v>
      </c>
    </row>
    <row r="40" spans="1:5" x14ac:dyDescent="0.2">
      <c r="C40" s="34" t="s">
        <v>86</v>
      </c>
      <c r="D40" s="39" t="e">
        <f>+D34/(D37*D12)</f>
        <v>#DIV/0!</v>
      </c>
      <c r="E40" s="7" t="s">
        <v>108</v>
      </c>
    </row>
    <row r="41" spans="1:5" x14ac:dyDescent="0.2">
      <c r="C41" s="34"/>
    </row>
    <row r="42" spans="1:5" ht="15.75" x14ac:dyDescent="0.2">
      <c r="C42" s="34" t="s">
        <v>6</v>
      </c>
      <c r="D42" s="1" t="s">
        <v>19</v>
      </c>
    </row>
    <row r="43" spans="1:5" x14ac:dyDescent="0.2">
      <c r="C43" s="34" t="s">
        <v>6</v>
      </c>
      <c r="D43" s="3" t="e">
        <f>+((6562.5/D40)^0.5)-25</f>
        <v>#DIV/0!</v>
      </c>
      <c r="E43" s="7" t="s">
        <v>109</v>
      </c>
    </row>
    <row r="44" spans="1:5" x14ac:dyDescent="0.2">
      <c r="C44" s="34"/>
    </row>
    <row r="45" spans="1:5" x14ac:dyDescent="0.2">
      <c r="A45" s="32"/>
      <c r="C45" s="34" t="s">
        <v>105</v>
      </c>
      <c r="D45" s="1" t="s">
        <v>18</v>
      </c>
      <c r="E45" s="32"/>
    </row>
    <row r="46" spans="1:5" x14ac:dyDescent="0.2">
      <c r="C46" s="34" t="s">
        <v>105</v>
      </c>
      <c r="D46" s="2" t="e">
        <f>+((10500*D43)/(D43+25))-(40*D40*D43)</f>
        <v>#DIV/0!</v>
      </c>
      <c r="E46" s="7" t="s">
        <v>108</v>
      </c>
    </row>
    <row r="47" spans="1:5" x14ac:dyDescent="0.2">
      <c r="B47" s="32"/>
      <c r="C47" s="32"/>
      <c r="E47" s="45"/>
    </row>
    <row r="48" spans="1:5" ht="13.5" thickBot="1" x14ac:dyDescent="0.25">
      <c r="A48" s="32"/>
      <c r="C48" s="34" t="s">
        <v>5</v>
      </c>
      <c r="D48" s="9" t="s">
        <v>4</v>
      </c>
      <c r="E48" s="32"/>
    </row>
    <row r="49" spans="1:12" ht="13.5" thickBot="1" x14ac:dyDescent="0.25">
      <c r="A49" s="41"/>
      <c r="B49" s="46"/>
      <c r="C49" s="42" t="s">
        <v>5</v>
      </c>
      <c r="D49" s="47" t="e">
        <f>+D46*D37*D12</f>
        <v>#DIV/0!</v>
      </c>
      <c r="E49" s="44" t="s">
        <v>123</v>
      </c>
    </row>
    <row r="50" spans="1:12" x14ac:dyDescent="0.2">
      <c r="D50" s="48"/>
    </row>
    <row r="51" spans="1:12" x14ac:dyDescent="0.2">
      <c r="A51" s="93" t="s">
        <v>95</v>
      </c>
    </row>
    <row r="52" spans="1:12" x14ac:dyDescent="0.2">
      <c r="C52" s="34" t="s">
        <v>14</v>
      </c>
      <c r="D52" s="125">
        <v>0</v>
      </c>
      <c r="E52" s="7" t="s">
        <v>110</v>
      </c>
    </row>
    <row r="53" spans="1:12" x14ac:dyDescent="0.2">
      <c r="C53" s="34" t="s">
        <v>13</v>
      </c>
      <c r="L53" s="48"/>
    </row>
    <row r="54" spans="1:12" ht="15.75" x14ac:dyDescent="0.2">
      <c r="C54" s="34" t="s">
        <v>16</v>
      </c>
      <c r="D54" s="9" t="s">
        <v>17</v>
      </c>
    </row>
    <row r="55" spans="1:12" x14ac:dyDescent="0.2">
      <c r="C55" s="34" t="s">
        <v>16</v>
      </c>
      <c r="D55" s="56" t="e">
        <f>+D34/(0.62*((64.4*D52)^0.5))</f>
        <v>#DIV/0!</v>
      </c>
      <c r="E55" s="7" t="s">
        <v>111</v>
      </c>
    </row>
    <row r="56" spans="1:12" ht="14.25" hidden="1" x14ac:dyDescent="0.25">
      <c r="B56" s="66" t="s">
        <v>96</v>
      </c>
      <c r="C56" s="66"/>
      <c r="D56" s="67" t="s">
        <v>97</v>
      </c>
      <c r="E56" s="65" t="s">
        <v>98</v>
      </c>
    </row>
    <row r="57" spans="1:12" hidden="1" x14ac:dyDescent="0.2">
      <c r="B57" s="34"/>
      <c r="C57" s="34"/>
      <c r="D57" s="64" t="e">
        <f>D127/D55</f>
        <v>#DIV/0!</v>
      </c>
      <c r="E57" s="65" t="s">
        <v>98</v>
      </c>
    </row>
    <row r="58" spans="1:12" hidden="1" x14ac:dyDescent="0.2">
      <c r="B58" s="34"/>
      <c r="C58" s="34"/>
      <c r="D58" s="64" t="e">
        <f>IF(D57&lt;1,1,D127/D55)</f>
        <v>#DIV/0!</v>
      </c>
      <c r="E58" s="65"/>
    </row>
    <row r="59" spans="1:12" x14ac:dyDescent="0.2">
      <c r="C59" s="34" t="s">
        <v>106</v>
      </c>
      <c r="D59" s="37" t="e">
        <f>+((4*(D55*144))/3.14159)^0.5</f>
        <v>#DIV/0!</v>
      </c>
      <c r="E59" s="7" t="s">
        <v>112</v>
      </c>
    </row>
    <row r="61" spans="1:12" x14ac:dyDescent="0.2">
      <c r="A61" s="93" t="s">
        <v>99</v>
      </c>
    </row>
    <row r="62" spans="1:12" x14ac:dyDescent="0.2">
      <c r="C62" s="34" t="s">
        <v>147</v>
      </c>
      <c r="D62" s="125">
        <v>4</v>
      </c>
      <c r="E62" s="7" t="s">
        <v>112</v>
      </c>
    </row>
    <row r="63" spans="1:12" x14ac:dyDescent="0.2">
      <c r="C63" s="34" t="s">
        <v>15</v>
      </c>
      <c r="D63" s="57">
        <f>+(3.14159/4)*(D62/12)^2</f>
        <v>8.7266388888888879E-2</v>
      </c>
      <c r="E63" s="7" t="s">
        <v>111</v>
      </c>
    </row>
    <row r="64" spans="1:12" x14ac:dyDescent="0.2">
      <c r="C64" s="34" t="s">
        <v>14</v>
      </c>
      <c r="D64" s="58">
        <f>D52</f>
        <v>0</v>
      </c>
      <c r="E64" s="7" t="s">
        <v>110</v>
      </c>
    </row>
    <row r="65" spans="1:5" x14ac:dyDescent="0.2">
      <c r="C65" s="34" t="s">
        <v>13</v>
      </c>
    </row>
    <row r="66" spans="1:5" ht="14.25" hidden="1" x14ac:dyDescent="0.25">
      <c r="B66" s="66" t="s">
        <v>96</v>
      </c>
      <c r="C66" s="66"/>
      <c r="D66" s="67" t="s">
        <v>97</v>
      </c>
      <c r="E66" s="65" t="s">
        <v>98</v>
      </c>
    </row>
    <row r="67" spans="1:5" hidden="1" x14ac:dyDescent="0.2">
      <c r="B67" s="34"/>
      <c r="C67" s="34"/>
      <c r="D67" s="64" t="e">
        <f>D127/D63</f>
        <v>#DIV/0!</v>
      </c>
      <c r="E67" s="65" t="s">
        <v>98</v>
      </c>
    </row>
    <row r="68" spans="1:5" hidden="1" x14ac:dyDescent="0.2">
      <c r="B68" s="34"/>
      <c r="C68" s="34"/>
      <c r="D68" s="64"/>
      <c r="E68" s="65"/>
    </row>
    <row r="69" spans="1:5" ht="15.75" x14ac:dyDescent="0.2">
      <c r="C69" s="34" t="s">
        <v>8</v>
      </c>
      <c r="D69" s="9" t="s">
        <v>122</v>
      </c>
      <c r="E69" s="32"/>
    </row>
    <row r="70" spans="1:5" x14ac:dyDescent="0.2">
      <c r="C70" s="34" t="s">
        <v>8</v>
      </c>
      <c r="D70" s="37">
        <f>0.62*D63*((2*32.2*D64)^0.5)</f>
        <v>0</v>
      </c>
      <c r="E70" s="7" t="s">
        <v>107</v>
      </c>
    </row>
    <row r="71" spans="1:5" x14ac:dyDescent="0.2">
      <c r="C71" s="34"/>
      <c r="D71" s="39"/>
    </row>
    <row r="72" spans="1:5" x14ac:dyDescent="0.2">
      <c r="A72" s="93" t="s">
        <v>100</v>
      </c>
      <c r="C72" s="34"/>
      <c r="D72" s="39"/>
    </row>
    <row r="73" spans="1:5" x14ac:dyDescent="0.2">
      <c r="A73" s="121" t="s">
        <v>192</v>
      </c>
      <c r="C73" s="34"/>
      <c r="D73" s="39"/>
    </row>
    <row r="74" spans="1:5" x14ac:dyDescent="0.2">
      <c r="C74" s="34" t="s">
        <v>12</v>
      </c>
      <c r="D74" s="126"/>
      <c r="E74" s="7" t="s">
        <v>112</v>
      </c>
    </row>
    <row r="75" spans="1:5" x14ac:dyDescent="0.2">
      <c r="C75" s="34" t="s">
        <v>12</v>
      </c>
      <c r="D75" s="36">
        <f>+D74/12</f>
        <v>0</v>
      </c>
      <c r="E75" s="7" t="s">
        <v>110</v>
      </c>
    </row>
    <row r="76" spans="1:5" x14ac:dyDescent="0.2">
      <c r="C76" s="34"/>
      <c r="D76" s="36"/>
    </row>
    <row r="77" spans="1:5" x14ac:dyDescent="0.2">
      <c r="C77" s="34" t="s">
        <v>11</v>
      </c>
      <c r="D77" s="127"/>
    </row>
    <row r="78" spans="1:5" x14ac:dyDescent="0.2">
      <c r="C78" s="34" t="s">
        <v>139</v>
      </c>
      <c r="D78" s="128"/>
      <c r="E78" s="7" t="s">
        <v>10</v>
      </c>
    </row>
    <row r="79" spans="1:5" x14ac:dyDescent="0.2">
      <c r="C79" s="34"/>
      <c r="D79" s="59"/>
    </row>
    <row r="80" spans="1:5" ht="15.75" x14ac:dyDescent="0.2">
      <c r="C80" s="34" t="s">
        <v>8</v>
      </c>
      <c r="D80" s="40" t="s">
        <v>9</v>
      </c>
    </row>
    <row r="81" spans="1:9" x14ac:dyDescent="0.2">
      <c r="C81" s="34" t="s">
        <v>8</v>
      </c>
      <c r="D81" s="37" t="e">
        <f>+(0.7854*(D75^2))*(1.486/D77)*((D75/4)^0.667)*(D78^0.5)</f>
        <v>#DIV/0!</v>
      </c>
      <c r="E81" s="7" t="s">
        <v>107</v>
      </c>
    </row>
    <row r="83" spans="1:9" x14ac:dyDescent="0.2">
      <c r="A83" s="93" t="s">
        <v>101</v>
      </c>
    </row>
    <row r="84" spans="1:9" x14ac:dyDescent="0.2">
      <c r="A84" s="6"/>
      <c r="B84" s="32"/>
      <c r="C84" s="34" t="s">
        <v>116</v>
      </c>
      <c r="D84" s="125"/>
      <c r="E84" s="7" t="s">
        <v>107</v>
      </c>
    </row>
    <row r="85" spans="1:9" ht="14.25" x14ac:dyDescent="0.25">
      <c r="A85" s="6"/>
      <c r="B85" s="32"/>
      <c r="C85" s="34" t="s">
        <v>119</v>
      </c>
      <c r="D85" s="35">
        <f>D10</f>
        <v>0</v>
      </c>
      <c r="E85" s="7" t="s">
        <v>29</v>
      </c>
      <c r="H85" s="11"/>
    </row>
    <row r="86" spans="1:9" x14ac:dyDescent="0.2">
      <c r="A86" s="6"/>
      <c r="B86" s="32"/>
      <c r="C86" s="34"/>
    </row>
    <row r="87" spans="1:9" x14ac:dyDescent="0.2">
      <c r="A87" s="6"/>
      <c r="B87" s="32"/>
      <c r="C87" s="34" t="s">
        <v>102</v>
      </c>
      <c r="D87" s="1" t="s">
        <v>7</v>
      </c>
    </row>
    <row r="88" spans="1:9" x14ac:dyDescent="0.2">
      <c r="C88" s="34" t="s">
        <v>102</v>
      </c>
      <c r="D88" s="4" t="e">
        <f>+D84/(D85*D12)</f>
        <v>#DIV/0!</v>
      </c>
      <c r="E88" s="7" t="s">
        <v>125</v>
      </c>
    </row>
    <row r="89" spans="1:9" x14ac:dyDescent="0.2">
      <c r="C89" s="34"/>
    </row>
    <row r="90" spans="1:9" ht="15.75" x14ac:dyDescent="0.2">
      <c r="C90" s="34" t="s">
        <v>6</v>
      </c>
      <c r="D90" s="1" t="s">
        <v>19</v>
      </c>
    </row>
    <row r="91" spans="1:9" x14ac:dyDescent="0.2">
      <c r="C91" s="34" t="s">
        <v>6</v>
      </c>
      <c r="D91" s="3" t="e">
        <f>+((6562.5/D88)^0.5)-25</f>
        <v>#DIV/0!</v>
      </c>
      <c r="E91" s="7" t="s">
        <v>109</v>
      </c>
    </row>
    <row r="92" spans="1:9" x14ac:dyDescent="0.2">
      <c r="C92" s="34"/>
      <c r="H92" s="48"/>
    </row>
    <row r="93" spans="1:9" x14ac:dyDescent="0.2">
      <c r="A93" s="32"/>
      <c r="C93" s="34" t="s">
        <v>88</v>
      </c>
      <c r="D93" s="1" t="s">
        <v>18</v>
      </c>
      <c r="E93" s="32"/>
    </row>
    <row r="94" spans="1:9" ht="12.75" customHeight="1" x14ac:dyDescent="0.2">
      <c r="C94" s="34" t="s">
        <v>88</v>
      </c>
      <c r="D94" s="2" t="e">
        <f>+((10500*D91)/(D91+25))-(40*D88*D91)</f>
        <v>#DIV/0!</v>
      </c>
      <c r="E94" s="7" t="s">
        <v>125</v>
      </c>
      <c r="I94" s="170"/>
    </row>
    <row r="95" spans="1:9" ht="13.5" thickBot="1" x14ac:dyDescent="0.25">
      <c r="B95" s="32"/>
      <c r="C95" s="32"/>
      <c r="E95" s="45"/>
      <c r="I95" s="170"/>
    </row>
    <row r="96" spans="1:9" x14ac:dyDescent="0.2">
      <c r="A96" s="108"/>
      <c r="B96" s="109"/>
      <c r="C96" s="110" t="s">
        <v>5</v>
      </c>
      <c r="D96" s="111" t="s">
        <v>4</v>
      </c>
      <c r="E96" s="112"/>
    </row>
    <row r="97" spans="1:6" ht="13.5" thickBot="1" x14ac:dyDescent="0.25">
      <c r="A97" s="113"/>
      <c r="B97" s="114"/>
      <c r="C97" s="115" t="s">
        <v>3</v>
      </c>
      <c r="D97" s="116" t="e">
        <f>+D94*D85*D12</f>
        <v>#DIV/0!</v>
      </c>
      <c r="E97" s="117" t="s">
        <v>123</v>
      </c>
    </row>
    <row r="98" spans="1:6" x14ac:dyDescent="0.2">
      <c r="C98" s="34"/>
      <c r="D98" s="48"/>
    </row>
    <row r="99" spans="1:6" x14ac:dyDescent="0.2">
      <c r="C99" s="34" t="s">
        <v>148</v>
      </c>
      <c r="D99" s="129"/>
      <c r="E99" s="7" t="s">
        <v>123</v>
      </c>
    </row>
    <row r="100" spans="1:6" x14ac:dyDescent="0.2">
      <c r="D100" s="7"/>
    </row>
    <row r="101" spans="1:6" x14ac:dyDescent="0.2">
      <c r="A101" s="93" t="s">
        <v>115</v>
      </c>
      <c r="D101" s="7"/>
    </row>
    <row r="102" spans="1:6" x14ac:dyDescent="0.2">
      <c r="C102" s="34" t="s">
        <v>84</v>
      </c>
      <c r="D102" s="87" t="e">
        <f>D12</f>
        <v>#DIV/0!</v>
      </c>
    </row>
    <row r="103" spans="1:6" ht="14.25" x14ac:dyDescent="0.25">
      <c r="C103" s="34" t="s">
        <v>118</v>
      </c>
      <c r="D103" s="136"/>
      <c r="E103" s="7" t="s">
        <v>117</v>
      </c>
    </row>
    <row r="104" spans="1:6" ht="14.25" x14ac:dyDescent="0.25">
      <c r="C104" s="34" t="s">
        <v>119</v>
      </c>
      <c r="D104" s="87">
        <f>D10</f>
        <v>0</v>
      </c>
      <c r="E104" s="7" t="s">
        <v>29</v>
      </c>
    </row>
    <row r="105" spans="1:6" x14ac:dyDescent="0.2">
      <c r="D105" s="88"/>
    </row>
    <row r="106" spans="1:6" ht="14.25" x14ac:dyDescent="0.2">
      <c r="C106" s="34" t="s">
        <v>120</v>
      </c>
      <c r="D106" s="88" t="s">
        <v>121</v>
      </c>
    </row>
    <row r="107" spans="1:6" x14ac:dyDescent="0.2">
      <c r="C107" s="34" t="s">
        <v>120</v>
      </c>
      <c r="D107" s="118" t="e">
        <f>D102*D103*D104</f>
        <v>#DIV/0!</v>
      </c>
      <c r="E107" s="7" t="s">
        <v>107</v>
      </c>
    </row>
    <row r="108" spans="1:6" x14ac:dyDescent="0.2">
      <c r="C108" s="34"/>
      <c r="D108" s="7"/>
      <c r="F108" s="99"/>
    </row>
    <row r="109" spans="1:6" x14ac:dyDescent="0.2">
      <c r="D109" s="7"/>
      <c r="F109" s="99"/>
    </row>
    <row r="110" spans="1:6" x14ac:dyDescent="0.2">
      <c r="A110" s="93" t="s">
        <v>172</v>
      </c>
      <c r="D110" s="48"/>
      <c r="F110" s="99"/>
    </row>
    <row r="111" spans="1:6" ht="15" thickBot="1" x14ac:dyDescent="0.3">
      <c r="C111" s="34" t="s">
        <v>138</v>
      </c>
      <c r="D111" s="49" t="s">
        <v>89</v>
      </c>
      <c r="F111" s="96"/>
    </row>
    <row r="112" spans="1:6" ht="15" thickBot="1" x14ac:dyDescent="0.3">
      <c r="C112" s="50" t="s">
        <v>138</v>
      </c>
      <c r="D112" s="47" t="e">
        <f>3630*D104*D102</f>
        <v>#DIV/0!</v>
      </c>
      <c r="E112" s="44" t="s">
        <v>123</v>
      </c>
      <c r="F112" s="96"/>
    </row>
    <row r="113" spans="1:6" x14ac:dyDescent="0.2">
      <c r="C113" s="34"/>
      <c r="D113" s="48"/>
      <c r="F113" s="99"/>
    </row>
    <row r="114" spans="1:6" x14ac:dyDescent="0.2">
      <c r="A114" s="93" t="s">
        <v>129</v>
      </c>
      <c r="C114" s="34"/>
      <c r="D114" s="48"/>
      <c r="F114" s="96"/>
    </row>
    <row r="115" spans="1:6" x14ac:dyDescent="0.2">
      <c r="A115" s="7" t="s">
        <v>90</v>
      </c>
      <c r="C115" s="34"/>
      <c r="D115" s="48"/>
      <c r="F115" s="96"/>
    </row>
    <row r="116" spans="1:6" ht="14.25" x14ac:dyDescent="0.25">
      <c r="A116" s="34" t="s">
        <v>91</v>
      </c>
      <c r="B116" s="131"/>
      <c r="C116" s="34" t="s">
        <v>152</v>
      </c>
      <c r="D116" s="49" t="s">
        <v>136</v>
      </c>
      <c r="F116" s="102"/>
    </row>
    <row r="117" spans="1:6" ht="14.25" x14ac:dyDescent="0.25">
      <c r="C117" s="34" t="s">
        <v>149</v>
      </c>
      <c r="D117" s="51" t="e">
        <f>D112/(B116*3600)</f>
        <v>#DIV/0!</v>
      </c>
      <c r="E117" s="7" t="s">
        <v>107</v>
      </c>
      <c r="F117" s="102"/>
    </row>
    <row r="118" spans="1:6" x14ac:dyDescent="0.2">
      <c r="A118" s="94" t="s">
        <v>94</v>
      </c>
      <c r="C118" s="34"/>
      <c r="D118" s="48"/>
      <c r="F118" s="102"/>
    </row>
    <row r="119" spans="1:6" x14ac:dyDescent="0.2">
      <c r="A119" s="94"/>
      <c r="C119" s="34"/>
      <c r="D119" s="48"/>
      <c r="F119" s="102"/>
    </row>
    <row r="120" spans="1:6" x14ac:dyDescent="0.2">
      <c r="A120" s="93" t="s">
        <v>130</v>
      </c>
      <c r="F120" s="102"/>
    </row>
    <row r="121" spans="1:6" ht="14.25" x14ac:dyDescent="0.25">
      <c r="C121" s="34" t="s">
        <v>131</v>
      </c>
      <c r="D121" s="7" t="s">
        <v>132</v>
      </c>
      <c r="F121" s="96"/>
    </row>
    <row r="122" spans="1:6" x14ac:dyDescent="0.2">
      <c r="C122" s="34" t="s">
        <v>133</v>
      </c>
      <c r="D122" s="132"/>
      <c r="E122" s="38" t="s">
        <v>110</v>
      </c>
      <c r="F122" s="96"/>
    </row>
    <row r="123" spans="1:6" x14ac:dyDescent="0.2">
      <c r="C123" s="34" t="s">
        <v>134</v>
      </c>
      <c r="D123" s="132"/>
      <c r="E123" s="38" t="s">
        <v>110</v>
      </c>
      <c r="F123" s="96"/>
    </row>
    <row r="124" spans="1:6" ht="14.25" x14ac:dyDescent="0.25">
      <c r="C124" s="54" t="s">
        <v>92</v>
      </c>
      <c r="D124" s="37">
        <f>0.667*(D122-D123)</f>
        <v>0</v>
      </c>
      <c r="E124" s="38" t="s">
        <v>110</v>
      </c>
      <c r="F124" s="96"/>
    </row>
    <row r="125" spans="1:6" x14ac:dyDescent="0.2">
      <c r="B125" s="14"/>
      <c r="F125" s="99"/>
    </row>
    <row r="126" spans="1:6" ht="16.5" x14ac:dyDescent="0.25">
      <c r="C126" s="34" t="s">
        <v>190</v>
      </c>
      <c r="D126" s="49" t="s">
        <v>150</v>
      </c>
      <c r="F126" s="99"/>
    </row>
    <row r="127" spans="1:6" ht="14.25" x14ac:dyDescent="0.25">
      <c r="C127" s="34" t="s">
        <v>190</v>
      </c>
      <c r="D127" s="51" t="e">
        <f>D117/((0.62)*(64.4*D124)^0.5)</f>
        <v>#DIV/0!</v>
      </c>
      <c r="E127" s="7" t="s">
        <v>111</v>
      </c>
      <c r="F127" s="96"/>
    </row>
    <row r="128" spans="1:6" ht="13.5" thickBot="1" x14ac:dyDescent="0.25">
      <c r="C128" s="34" t="s">
        <v>135</v>
      </c>
      <c r="D128" s="52" t="e">
        <f>SQRT(D127*144*4/PI())</f>
        <v>#DIV/0!</v>
      </c>
      <c r="E128" s="89" t="s">
        <v>112</v>
      </c>
      <c r="F128" s="96"/>
    </row>
    <row r="129" spans="1:6" ht="13.5" thickBot="1" x14ac:dyDescent="0.25">
      <c r="B129" s="41"/>
      <c r="C129" s="42" t="s">
        <v>137</v>
      </c>
      <c r="D129" s="133"/>
      <c r="E129" s="95" t="s">
        <v>112</v>
      </c>
      <c r="F129" s="96"/>
    </row>
    <row r="130" spans="1:6" x14ac:dyDescent="0.2">
      <c r="D130" s="53" t="e">
        <f>IF(D128&lt;=2, "Minimum diameter of 2 inches", "Round to the Nearest 1/8 inch")</f>
        <v>#DIV/0!</v>
      </c>
      <c r="E130" s="72"/>
      <c r="F130" s="96"/>
    </row>
    <row r="131" spans="1:6" x14ac:dyDescent="0.2">
      <c r="D131" s="48"/>
      <c r="F131" s="96"/>
    </row>
    <row r="132" spans="1:6" ht="14.25" x14ac:dyDescent="0.25">
      <c r="C132" s="70" t="s">
        <v>151</v>
      </c>
      <c r="D132" s="69">
        <f>(PI()*(D129/2/12)^2*((0.62)*(64.4*D124)^0.5))</f>
        <v>0</v>
      </c>
      <c r="E132" s="68" t="s">
        <v>107</v>
      </c>
      <c r="F132" s="96"/>
    </row>
    <row r="133" spans="1:6" x14ac:dyDescent="0.2">
      <c r="C133" s="54" t="s">
        <v>93</v>
      </c>
      <c r="D133" s="55" t="e">
        <f>(D112/D132)/3600</f>
        <v>#DIV/0!</v>
      </c>
      <c r="E133" s="7" t="s">
        <v>124</v>
      </c>
      <c r="F133" s="96"/>
    </row>
    <row r="134" spans="1:6" x14ac:dyDescent="0.2">
      <c r="F134" s="96"/>
    </row>
    <row r="135" spans="1:6" ht="13.5" customHeight="1" x14ac:dyDescent="0.2">
      <c r="A135" s="169" t="s">
        <v>202</v>
      </c>
      <c r="B135" s="169"/>
      <c r="C135" s="169"/>
      <c r="D135" s="169"/>
      <c r="E135" s="169"/>
    </row>
    <row r="136" spans="1:6" ht="13.5" customHeight="1" x14ac:dyDescent="0.2">
      <c r="A136" s="169"/>
      <c r="B136" s="169"/>
      <c r="C136" s="169"/>
      <c r="D136" s="169"/>
      <c r="E136" s="169"/>
    </row>
    <row r="137" spans="1:6" x14ac:dyDescent="0.2">
      <c r="A137" s="169"/>
      <c r="B137" s="169"/>
      <c r="C137" s="169"/>
      <c r="D137" s="169"/>
      <c r="E137" s="169"/>
    </row>
  </sheetData>
  <mergeCells count="6">
    <mergeCell ref="A135:E137"/>
    <mergeCell ref="B1:C1"/>
    <mergeCell ref="B2:C2"/>
    <mergeCell ref="B3:C3"/>
    <mergeCell ref="I94:I95"/>
    <mergeCell ref="A5:E6"/>
  </mergeCells>
  <conditionalFormatting sqref="D130">
    <cfRule type="containsText" dxfId="1" priority="2" operator="containsText" text="Min">
      <formula>NOT(ISERROR(SEARCH("Min",D130)))</formula>
    </cfRule>
  </conditionalFormatting>
  <dataValidations count="3">
    <dataValidation type="list" allowBlank="1" showInputMessage="1" showErrorMessage="1" sqref="B116" xr:uid="{9F4FA33D-A331-451E-97FC-2A624B091AC2}">
      <formula1>"18,19,20,21,22,23,24"</formula1>
    </dataValidation>
    <dataValidation type="list" allowBlank="1" showInputMessage="1" showErrorMessage="1" sqref="D74" xr:uid="{73CED6E1-1E7B-4F59-922E-4B8CA994A0B7}">
      <formula1>"4,6,10,12,15,18,21,24"</formula1>
    </dataValidation>
    <dataValidation type="list" allowBlank="1" showInputMessage="1" showErrorMessage="1" sqref="D77" xr:uid="{BBE44315-C094-45FD-B318-5649B90A0CF8}">
      <formula1>"0.009,0.012,0.025"</formula1>
    </dataValidation>
  </dataValidations>
  <pageMargins left="0.7" right="0.7" top="0.75" bottom="0.75" header="0.3" footer="0.3"/>
  <pageSetup orientation="portrait" r:id="rId1"/>
  <headerFooter>
    <oddHeader>&amp;LSaginaw County Public Works Commissioner 
Design Requirements &amp;R&amp;"-,Bold Italic"&amp;12&amp;A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9D302-2721-46DD-96E7-7F99B4B17166}">
  <dimension ref="A1:E37"/>
  <sheetViews>
    <sheetView workbookViewId="0">
      <selection activeCell="D10" sqref="D10"/>
    </sheetView>
  </sheetViews>
  <sheetFormatPr defaultRowHeight="15" x14ac:dyDescent="0.25"/>
  <cols>
    <col min="1" max="1" width="41.28515625" customWidth="1"/>
    <col min="2" max="2" width="13.85546875" customWidth="1"/>
  </cols>
  <sheetData>
    <row r="1" spans="1:5" ht="30" x14ac:dyDescent="0.25">
      <c r="A1" s="60" t="s">
        <v>50</v>
      </c>
      <c r="B1" s="60" t="s">
        <v>103</v>
      </c>
    </row>
    <row r="2" spans="1:5" x14ac:dyDescent="0.25">
      <c r="A2" s="61" t="s">
        <v>53</v>
      </c>
      <c r="B2" s="62">
        <v>0.9</v>
      </c>
    </row>
    <row r="3" spans="1:5" x14ac:dyDescent="0.25">
      <c r="A3" s="63" t="s">
        <v>55</v>
      </c>
      <c r="B3" s="62">
        <v>1</v>
      </c>
    </row>
    <row r="4" spans="1:5" x14ac:dyDescent="0.25">
      <c r="A4" s="61" t="s">
        <v>56</v>
      </c>
      <c r="B4" s="62">
        <v>0.3</v>
      </c>
    </row>
    <row r="5" spans="1:5" x14ac:dyDescent="0.25">
      <c r="A5" s="63" t="s">
        <v>57</v>
      </c>
      <c r="B5" s="62">
        <v>0.17</v>
      </c>
    </row>
    <row r="6" spans="1:5" x14ac:dyDescent="0.25">
      <c r="A6" s="63" t="s">
        <v>52</v>
      </c>
      <c r="B6" s="62">
        <v>0.45</v>
      </c>
    </row>
    <row r="7" spans="1:5" x14ac:dyDescent="0.25">
      <c r="A7" s="63" t="s">
        <v>58</v>
      </c>
      <c r="B7" s="62">
        <v>0.4</v>
      </c>
    </row>
    <row r="8" spans="1:5" x14ac:dyDescent="0.25">
      <c r="A8" s="63" t="s">
        <v>54</v>
      </c>
      <c r="B8" s="62">
        <v>0.6</v>
      </c>
    </row>
    <row r="11" spans="1:5" x14ac:dyDescent="0.25">
      <c r="A11" s="93" t="s">
        <v>126</v>
      </c>
      <c r="B11" s="90" t="s">
        <v>127</v>
      </c>
      <c r="D11" s="9"/>
      <c r="E11" s="7"/>
    </row>
    <row r="12" spans="1:5" x14ac:dyDescent="0.25">
      <c r="A12" s="121" t="s">
        <v>191</v>
      </c>
      <c r="B12" s="7"/>
      <c r="C12" s="90"/>
      <c r="D12" s="9"/>
      <c r="E12" s="7"/>
    </row>
    <row r="13" spans="1:5" x14ac:dyDescent="0.25">
      <c r="A13" s="7"/>
      <c r="B13" s="7"/>
      <c r="C13" s="34" t="s">
        <v>119</v>
      </c>
      <c r="D13" s="107">
        <f>'Stormwater Calculations - IF'!D10</f>
        <v>0</v>
      </c>
      <c r="E13" s="105"/>
    </row>
    <row r="14" spans="1:5" x14ac:dyDescent="0.25">
      <c r="A14" s="7"/>
      <c r="B14" s="7"/>
      <c r="C14" s="97" t="s">
        <v>141</v>
      </c>
      <c r="D14" s="107" t="e">
        <f>'Runoff Coefficient'!C39</f>
        <v>#DIV/0!</v>
      </c>
      <c r="E14" s="105"/>
    </row>
    <row r="15" spans="1:5" x14ac:dyDescent="0.25">
      <c r="A15" s="7"/>
      <c r="B15" s="7"/>
      <c r="C15" s="105"/>
      <c r="D15" s="106"/>
      <c r="E15" s="105"/>
    </row>
    <row r="16" spans="1:5" x14ac:dyDescent="0.25">
      <c r="A16" s="7"/>
      <c r="B16" s="7"/>
      <c r="C16" s="97" t="s">
        <v>142</v>
      </c>
      <c r="D16" s="102" t="s">
        <v>173</v>
      </c>
      <c r="E16" s="96"/>
    </row>
    <row r="17" spans="1:5" x14ac:dyDescent="0.25">
      <c r="A17" s="7"/>
      <c r="B17" s="7"/>
      <c r="C17" s="97" t="s">
        <v>142</v>
      </c>
      <c r="D17" s="99" t="e">
        <f>7768*D13*D14</f>
        <v>#DIV/0!</v>
      </c>
      <c r="E17" s="96" t="s">
        <v>123</v>
      </c>
    </row>
    <row r="18" spans="1:5" x14ac:dyDescent="0.25">
      <c r="A18" s="7"/>
      <c r="B18" s="7"/>
      <c r="C18" s="96"/>
      <c r="D18" s="99"/>
      <c r="E18" s="97"/>
    </row>
    <row r="19" spans="1:5" x14ac:dyDescent="0.25">
      <c r="A19" s="93" t="s">
        <v>146</v>
      </c>
      <c r="B19" s="7"/>
      <c r="C19" s="34"/>
      <c r="D19" s="48"/>
      <c r="E19" s="7"/>
    </row>
    <row r="20" spans="1:5" x14ac:dyDescent="0.25">
      <c r="A20" s="7"/>
      <c r="B20" s="7"/>
      <c r="C20" s="97" t="s">
        <v>175</v>
      </c>
      <c r="D20" s="120">
        <v>48</v>
      </c>
      <c r="E20" s="96" t="s">
        <v>174</v>
      </c>
    </row>
    <row r="21" spans="1:5" x14ac:dyDescent="0.25">
      <c r="A21" s="34"/>
      <c r="B21" s="7"/>
      <c r="C21" s="34" t="s">
        <v>183</v>
      </c>
      <c r="D21" s="49" t="s">
        <v>176</v>
      </c>
      <c r="E21" s="102"/>
    </row>
    <row r="22" spans="1:5" x14ac:dyDescent="0.25">
      <c r="A22" s="7"/>
      <c r="B22" s="7"/>
      <c r="C22" s="34" t="s">
        <v>183</v>
      </c>
      <c r="D22" s="51" t="e">
        <f>D17/(D20*3600)</f>
        <v>#DIV/0!</v>
      </c>
      <c r="E22" s="7" t="s">
        <v>107</v>
      </c>
    </row>
    <row r="23" spans="1:5" x14ac:dyDescent="0.25">
      <c r="A23" s="94"/>
      <c r="B23" s="7"/>
      <c r="C23" s="34"/>
      <c r="D23" s="48"/>
      <c r="E23" s="7"/>
    </row>
    <row r="24" spans="1:5" x14ac:dyDescent="0.25">
      <c r="A24" s="104" t="s">
        <v>145</v>
      </c>
      <c r="B24" s="7"/>
      <c r="C24" s="7"/>
      <c r="D24" s="1"/>
      <c r="E24" s="96"/>
    </row>
    <row r="25" spans="1:5" x14ac:dyDescent="0.25">
      <c r="A25" s="7"/>
      <c r="B25" s="7"/>
      <c r="C25" s="97" t="s">
        <v>170</v>
      </c>
      <c r="D25" s="38" t="s">
        <v>171</v>
      </c>
      <c r="E25" s="96"/>
    </row>
    <row r="26" spans="1:5" x14ac:dyDescent="0.25">
      <c r="A26" s="7"/>
      <c r="B26" s="7"/>
      <c r="C26" s="97" t="s">
        <v>189</v>
      </c>
      <c r="D26" s="134">
        <v>597.5</v>
      </c>
      <c r="E26" s="101" t="s">
        <v>143</v>
      </c>
    </row>
    <row r="27" spans="1:5" x14ac:dyDescent="0.25">
      <c r="A27" s="7"/>
      <c r="B27" s="7"/>
      <c r="C27" s="97" t="s">
        <v>140</v>
      </c>
      <c r="D27" s="135">
        <v>595.5</v>
      </c>
      <c r="E27" s="101" t="s">
        <v>143</v>
      </c>
    </row>
    <row r="28" spans="1:5" x14ac:dyDescent="0.25">
      <c r="A28" s="7"/>
      <c r="B28" s="7"/>
      <c r="C28" s="100" t="s">
        <v>144</v>
      </c>
      <c r="D28" s="103">
        <f>0.667*(D26-D27)</f>
        <v>1.3340000000000001</v>
      </c>
      <c r="E28" s="101" t="s">
        <v>143</v>
      </c>
    </row>
    <row r="29" spans="1:5" x14ac:dyDescent="0.25">
      <c r="A29" s="7"/>
      <c r="B29" s="7"/>
      <c r="C29" s="100"/>
      <c r="D29" s="98"/>
      <c r="E29" s="101"/>
    </row>
    <row r="30" spans="1:5" ht="16.5" x14ac:dyDescent="0.25">
      <c r="A30" s="7"/>
      <c r="B30" s="7"/>
      <c r="C30" s="34" t="s">
        <v>179</v>
      </c>
      <c r="D30" s="49" t="s">
        <v>182</v>
      </c>
      <c r="E30" s="7"/>
    </row>
    <row r="31" spans="1:5" x14ac:dyDescent="0.25">
      <c r="A31" s="7"/>
      <c r="B31" s="7"/>
      <c r="C31" s="34" t="s">
        <v>179</v>
      </c>
      <c r="D31" s="51" t="e">
        <f>D22/((0.62)*(64.4*D28)^0.5)</f>
        <v>#DIV/0!</v>
      </c>
      <c r="E31" s="7" t="s">
        <v>111</v>
      </c>
    </row>
    <row r="32" spans="1:5" ht="15.75" thickBot="1" x14ac:dyDescent="0.3">
      <c r="A32" s="7"/>
      <c r="B32" s="7"/>
      <c r="C32" s="34" t="s">
        <v>180</v>
      </c>
      <c r="D32" s="52" t="e">
        <f>SQRT(D31*144*4/PI())</f>
        <v>#DIV/0!</v>
      </c>
      <c r="E32" s="89" t="s">
        <v>112</v>
      </c>
    </row>
    <row r="33" spans="1:5" ht="15.75" thickBot="1" x14ac:dyDescent="0.3">
      <c r="A33" s="7"/>
      <c r="B33" s="41"/>
      <c r="C33" s="42" t="s">
        <v>181</v>
      </c>
      <c r="D33" s="133">
        <v>2</v>
      </c>
      <c r="E33" s="95" t="s">
        <v>112</v>
      </c>
    </row>
    <row r="34" spans="1:5" x14ac:dyDescent="0.25">
      <c r="A34" s="7"/>
      <c r="B34" s="7"/>
      <c r="C34" s="7"/>
      <c r="D34" s="53" t="e">
        <f>IF(D32&lt;=2, "Minimum diameter of 2 inches", "Round to the Nearest 1/8 inch")</f>
        <v>#DIV/0!</v>
      </c>
      <c r="E34" s="72"/>
    </row>
    <row r="35" spans="1:5" x14ac:dyDescent="0.25">
      <c r="A35" s="7"/>
      <c r="B35" s="7"/>
      <c r="C35" s="7"/>
      <c r="D35" s="48"/>
      <c r="E35" s="7"/>
    </row>
    <row r="36" spans="1:5" x14ac:dyDescent="0.25">
      <c r="A36" s="7"/>
      <c r="B36" s="7"/>
      <c r="C36" s="70" t="s">
        <v>184</v>
      </c>
      <c r="D36" s="69">
        <f>(PI()*(D33/2/12)^2*((0.62)*(64.4*D28)^0.5))</f>
        <v>0.12537181656007962</v>
      </c>
      <c r="E36" s="68" t="s">
        <v>107</v>
      </c>
    </row>
    <row r="37" spans="1:5" x14ac:dyDescent="0.25">
      <c r="A37" s="7"/>
      <c r="B37" s="7"/>
      <c r="C37" s="54" t="s">
        <v>185</v>
      </c>
      <c r="D37" s="55" t="e">
        <f>(D17/D36)/3600</f>
        <v>#DIV/0!</v>
      </c>
      <c r="E37" s="7" t="s">
        <v>124</v>
      </c>
    </row>
  </sheetData>
  <conditionalFormatting sqref="D34">
    <cfRule type="containsText" dxfId="0" priority="1" operator="containsText" text="Min">
      <formula>NOT(ISERROR(SEARCH("Min",D34)))</formula>
    </cfRule>
  </conditionalFormatting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Site Description</vt:lpstr>
      <vt:lpstr>Runoff Coefficient</vt:lpstr>
      <vt:lpstr>General Stormwater Calculations</vt:lpstr>
      <vt:lpstr>Stormwater Calculations - IF</vt:lpstr>
      <vt:lpstr>Sheet7</vt:lpstr>
      <vt:lpstr>'General Stormwater Calculations'!Print_Area</vt:lpstr>
      <vt:lpstr>'Runoff Coefficient'!Print_Area</vt:lpstr>
      <vt:lpstr>'Stormwater Calculations - IF'!Print_Area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Coscarelli, Erica A.</dc:creator>
  <cp:lastModifiedBy>Colpaert, Marya</cp:lastModifiedBy>
  <cp:lastPrinted>2019-08-29T18:21:52Z</cp:lastPrinted>
  <dcterms:created xsi:type="dcterms:W3CDTF">2019-08-16T12:01:42Z</dcterms:created>
  <dcterms:modified xsi:type="dcterms:W3CDTF">2025-10-01T18:44:54Z</dcterms:modified>
</cp:coreProperties>
</file>